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390" windowWidth="15315" windowHeight="438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N62" i="1"/>
  <c r="I87"/>
  <c r="K87"/>
  <c r="N87"/>
  <c r="O87" s="1"/>
  <c r="R87"/>
  <c r="Z87" s="1"/>
  <c r="T87"/>
  <c r="V87" s="1"/>
  <c r="I86"/>
  <c r="K86"/>
  <c r="N86"/>
  <c r="O86" s="1"/>
  <c r="R86"/>
  <c r="Y86" s="1"/>
  <c r="T86"/>
  <c r="V86" s="1"/>
  <c r="I85"/>
  <c r="K85"/>
  <c r="N85"/>
  <c r="O85" s="1"/>
  <c r="R85"/>
  <c r="Y85" s="1"/>
  <c r="T85"/>
  <c r="V85" s="1"/>
  <c r="I84"/>
  <c r="K84"/>
  <c r="N84"/>
  <c r="O84" s="1"/>
  <c r="R84"/>
  <c r="Y84" s="1"/>
  <c r="T84"/>
  <c r="V84" s="1"/>
  <c r="I83"/>
  <c r="K83"/>
  <c r="N83"/>
  <c r="O83" s="1"/>
  <c r="R83"/>
  <c r="AG83" s="1"/>
  <c r="T83"/>
  <c r="V83" s="1"/>
  <c r="I82"/>
  <c r="K82"/>
  <c r="N82"/>
  <c r="O82" s="1"/>
  <c r="R82"/>
  <c r="Z82" s="1"/>
  <c r="T82"/>
  <c r="V82" s="1"/>
  <c r="I81"/>
  <c r="K81"/>
  <c r="N81"/>
  <c r="O81" s="1"/>
  <c r="R81"/>
  <c r="Z81" s="1"/>
  <c r="T81"/>
  <c r="V81" s="1"/>
  <c r="AG86" l="1"/>
  <c r="AG84"/>
  <c r="Z86"/>
  <c r="Z83"/>
  <c r="Z85"/>
  <c r="AA85" s="1"/>
  <c r="AC85" s="1"/>
  <c r="Y83"/>
  <c r="Z84"/>
  <c r="AA84" s="1"/>
  <c r="AC84" s="1"/>
  <c r="AH83"/>
  <c r="Y87"/>
  <c r="AA87" s="1"/>
  <c r="AC87" s="1"/>
  <c r="AM87" s="1"/>
  <c r="AG87"/>
  <c r="AH87" s="1"/>
  <c r="Y81"/>
  <c r="AA81" s="1"/>
  <c r="AC81" s="1"/>
  <c r="AG81"/>
  <c r="AH81" s="1"/>
  <c r="AP87"/>
  <c r="AQ87" s="1"/>
  <c r="AR87" s="1"/>
  <c r="P87"/>
  <c r="AA86"/>
  <c r="AC86" s="1"/>
  <c r="AP86"/>
  <c r="AQ86" s="1"/>
  <c r="AR86" s="1"/>
  <c r="P86"/>
  <c r="AG85"/>
  <c r="AP85"/>
  <c r="AQ85" s="1"/>
  <c r="AR85" s="1"/>
  <c r="P85"/>
  <c r="P84"/>
  <c r="AP84"/>
  <c r="AQ84" s="1"/>
  <c r="AR84" s="1"/>
  <c r="AP83"/>
  <c r="AQ83" s="1"/>
  <c r="AR83" s="1"/>
  <c r="P83"/>
  <c r="Y82"/>
  <c r="AA82" s="1"/>
  <c r="AC82" s="1"/>
  <c r="AG82"/>
  <c r="AH82" s="1"/>
  <c r="P82"/>
  <c r="AP82"/>
  <c r="AQ82" s="1"/>
  <c r="AR82" s="1"/>
  <c r="P81"/>
  <c r="AP81"/>
  <c r="AQ81" s="1"/>
  <c r="AR81" s="1"/>
  <c r="N72"/>
  <c r="N73"/>
  <c r="I80"/>
  <c r="K80"/>
  <c r="N80"/>
  <c r="O80" s="1"/>
  <c r="R80"/>
  <c r="AG80" s="1"/>
  <c r="T80"/>
  <c r="V80" s="1"/>
  <c r="I79"/>
  <c r="K79"/>
  <c r="N79"/>
  <c r="O79" s="1"/>
  <c r="R79"/>
  <c r="Y79" s="1"/>
  <c r="T79"/>
  <c r="V79" s="1"/>
  <c r="AH86" l="1"/>
  <c r="AI86" s="1"/>
  <c r="AH84"/>
  <c r="AI84" s="1"/>
  <c r="AA83"/>
  <c r="AC83" s="1"/>
  <c r="AE83" s="1"/>
  <c r="AH85"/>
  <c r="AI85" s="1"/>
  <c r="AG79"/>
  <c r="AN81"/>
  <c r="AN82"/>
  <c r="AN87"/>
  <c r="AO87"/>
  <c r="AI87"/>
  <c r="AE87"/>
  <c r="AJ87"/>
  <c r="AK87" s="1"/>
  <c r="AL87" s="1"/>
  <c r="AN86"/>
  <c r="AM86"/>
  <c r="AO86"/>
  <c r="AE86"/>
  <c r="AJ86"/>
  <c r="AK86" s="1"/>
  <c r="AL86" s="1"/>
  <c r="AO85"/>
  <c r="AE85"/>
  <c r="AJ85"/>
  <c r="AK85" s="1"/>
  <c r="AL85" s="1"/>
  <c r="AM85"/>
  <c r="AN85"/>
  <c r="AN84"/>
  <c r="AO84"/>
  <c r="AE84"/>
  <c r="AJ84"/>
  <c r="AK84" s="1"/>
  <c r="AL84" s="1"/>
  <c r="AM84"/>
  <c r="AI83"/>
  <c r="AO82"/>
  <c r="AE82"/>
  <c r="AJ82"/>
  <c r="AK82" s="1"/>
  <c r="AL82" s="1"/>
  <c r="AM82"/>
  <c r="AI82"/>
  <c r="AO81"/>
  <c r="AE81"/>
  <c r="AJ81"/>
  <c r="AK81" s="1"/>
  <c r="AL81" s="1"/>
  <c r="AM81"/>
  <c r="AI81"/>
  <c r="Y80"/>
  <c r="Z80"/>
  <c r="AH80" s="1"/>
  <c r="AP80"/>
  <c r="AQ80" s="1"/>
  <c r="AR80" s="1"/>
  <c r="P80"/>
  <c r="Z79"/>
  <c r="AA79" s="1"/>
  <c r="AC79" s="1"/>
  <c r="AM79" s="1"/>
  <c r="AP79"/>
  <c r="AQ79" s="1"/>
  <c r="AR79" s="1"/>
  <c r="P79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3"/>
  <c r="N64"/>
  <c r="N65"/>
  <c r="N66"/>
  <c r="N67"/>
  <c r="N68"/>
  <c r="N69"/>
  <c r="N70"/>
  <c r="N71"/>
  <c r="N74"/>
  <c r="N75"/>
  <c r="N76"/>
  <c r="N77"/>
  <c r="N78"/>
  <c r="N4"/>
  <c r="AN83" l="1"/>
  <c r="AJ83"/>
  <c r="AK83" s="1"/>
  <c r="AL83" s="1"/>
  <c r="AM83"/>
  <c r="AO83"/>
  <c r="AS87"/>
  <c r="AS86"/>
  <c r="AS85"/>
  <c r="AS84"/>
  <c r="AS82"/>
  <c r="AS81"/>
  <c r="AN79"/>
  <c r="AH79"/>
  <c r="AI79" s="1"/>
  <c r="AA80"/>
  <c r="AC80" s="1"/>
  <c r="AM80" s="1"/>
  <c r="AI80"/>
  <c r="AE79"/>
  <c r="AJ79"/>
  <c r="AK79" s="1"/>
  <c r="AL79" s="1"/>
  <c r="AO79"/>
  <c r="AS83" l="1"/>
  <c r="AO80"/>
  <c r="AS79"/>
  <c r="AJ80"/>
  <c r="AK80" s="1"/>
  <c r="AL80" s="1"/>
  <c r="AE80"/>
  <c r="AN80"/>
  <c r="AS80" s="1"/>
  <c r="I78" l="1"/>
  <c r="K78"/>
  <c r="O78"/>
  <c r="P78" s="1"/>
  <c r="R78"/>
  <c r="Y78" s="1"/>
  <c r="T78"/>
  <c r="V78" s="1"/>
  <c r="Q64"/>
  <c r="Z78" l="1"/>
  <c r="AA78" s="1"/>
  <c r="AC78" s="1"/>
  <c r="AG78"/>
  <c r="AP78"/>
  <c r="AQ78" s="1"/>
  <c r="AR78" s="1"/>
  <c r="AH78" l="1"/>
  <c r="AI78" s="1"/>
  <c r="AN78"/>
  <c r="AO78"/>
  <c r="AE78"/>
  <c r="AJ78"/>
  <c r="AK78" s="1"/>
  <c r="AL78" s="1"/>
  <c r="AM78"/>
  <c r="AS78" l="1"/>
  <c r="I7" l="1"/>
  <c r="K7"/>
  <c r="O7"/>
  <c r="P7" s="1"/>
  <c r="R7"/>
  <c r="Z7" s="1"/>
  <c r="T7"/>
  <c r="V7" s="1"/>
  <c r="AG7" l="1"/>
  <c r="AH7" s="1"/>
  <c r="Y7"/>
  <c r="AA7" s="1"/>
  <c r="AC7" s="1"/>
  <c r="AP7"/>
  <c r="AQ7" s="1"/>
  <c r="AR7" s="1"/>
  <c r="AI7" l="1"/>
  <c r="AN7"/>
  <c r="AM7"/>
  <c r="AO7"/>
  <c r="AE7"/>
  <c r="AJ7"/>
  <c r="AK7" s="1"/>
  <c r="AL7" s="1"/>
  <c r="AS7" l="1"/>
  <c r="I77" l="1"/>
  <c r="K77"/>
  <c r="O77"/>
  <c r="P77" s="1"/>
  <c r="R77"/>
  <c r="Y77" s="1"/>
  <c r="T77"/>
  <c r="V77" s="1"/>
  <c r="Z77" l="1"/>
  <c r="AA77" s="1"/>
  <c r="AC77" s="1"/>
  <c r="AG77"/>
  <c r="AP77"/>
  <c r="AQ77" s="1"/>
  <c r="AR77" s="1"/>
  <c r="AH77" l="1"/>
  <c r="AI77" s="1"/>
  <c r="AN77"/>
  <c r="AM77"/>
  <c r="AO77"/>
  <c r="AE77"/>
  <c r="AJ77"/>
  <c r="AK77" s="1"/>
  <c r="AL77" s="1"/>
  <c r="AS77" l="1"/>
  <c r="I76"/>
  <c r="K76"/>
  <c r="O76"/>
  <c r="P76" s="1"/>
  <c r="R76"/>
  <c r="Y76" s="1"/>
  <c r="T76"/>
  <c r="V76" s="1"/>
  <c r="I66"/>
  <c r="K66"/>
  <c r="O66"/>
  <c r="P66" s="1"/>
  <c r="R66"/>
  <c r="Y66" s="1"/>
  <c r="T66"/>
  <c r="V66" s="1"/>
  <c r="I75"/>
  <c r="K75"/>
  <c r="O75"/>
  <c r="P75" s="1"/>
  <c r="R75"/>
  <c r="Z75" s="1"/>
  <c r="T75"/>
  <c r="V75" s="1"/>
  <c r="AG76" l="1"/>
  <c r="Z76"/>
  <c r="AA76" s="1"/>
  <c r="AC76" s="1"/>
  <c r="AP76"/>
  <c r="AQ76" s="1"/>
  <c r="AR76" s="1"/>
  <c r="AG75"/>
  <c r="AH75" s="1"/>
  <c r="Z66"/>
  <c r="AA66" s="1"/>
  <c r="AN66" s="1"/>
  <c r="Y75"/>
  <c r="AG66"/>
  <c r="AP66"/>
  <c r="AQ66" s="1"/>
  <c r="AR66" s="1"/>
  <c r="AP75"/>
  <c r="AQ75" s="1"/>
  <c r="AR75" s="1"/>
  <c r="I74"/>
  <c r="K74"/>
  <c r="O74"/>
  <c r="P74" s="1"/>
  <c r="R74"/>
  <c r="Y74" s="1"/>
  <c r="T74"/>
  <c r="V74" s="1"/>
  <c r="AA75" l="1"/>
  <c r="AC75" s="1"/>
  <c r="AJ75" s="1"/>
  <c r="AK75" s="1"/>
  <c r="AL75" s="1"/>
  <c r="AI75"/>
  <c r="AH76"/>
  <c r="AI76" s="1"/>
  <c r="AH66"/>
  <c r="AI66" s="1"/>
  <c r="AC66"/>
  <c r="AO66" s="1"/>
  <c r="AE76"/>
  <c r="AJ76"/>
  <c r="AK76" s="1"/>
  <c r="AL76" s="1"/>
  <c r="AM76"/>
  <c r="AO76"/>
  <c r="AN76"/>
  <c r="AG74"/>
  <c r="Z74"/>
  <c r="AM75"/>
  <c r="AP74"/>
  <c r="AQ74" s="1"/>
  <c r="AR74" s="1"/>
  <c r="AE75" l="1"/>
  <c r="AN75"/>
  <c r="AO75"/>
  <c r="AM66"/>
  <c r="AS66" s="1"/>
  <c r="AS76"/>
  <c r="AE66"/>
  <c r="AJ66"/>
  <c r="AK66" s="1"/>
  <c r="AL66" s="1"/>
  <c r="AH74"/>
  <c r="AI74" s="1"/>
  <c r="AA74"/>
  <c r="AC74" s="1"/>
  <c r="AM74" s="1"/>
  <c r="AS75" l="1"/>
  <c r="AO74"/>
  <c r="AE74"/>
  <c r="AJ74"/>
  <c r="AK74" s="1"/>
  <c r="AL74" s="1"/>
  <c r="AN74"/>
  <c r="AS74" l="1"/>
  <c r="T73"/>
  <c r="V73" s="1"/>
  <c r="R73"/>
  <c r="AG73" s="1"/>
  <c r="O73"/>
  <c r="P73" s="1"/>
  <c r="K73"/>
  <c r="I73"/>
  <c r="T72"/>
  <c r="V72" s="1"/>
  <c r="R72"/>
  <c r="AG72" s="1"/>
  <c r="O72"/>
  <c r="P72" s="1"/>
  <c r="K72"/>
  <c r="I72"/>
  <c r="T71"/>
  <c r="V71" s="1"/>
  <c r="R71"/>
  <c r="AG71" s="1"/>
  <c r="O71"/>
  <c r="P71" s="1"/>
  <c r="K71"/>
  <c r="I71"/>
  <c r="T70"/>
  <c r="V70" s="1"/>
  <c r="R70"/>
  <c r="AG70" s="1"/>
  <c r="O70"/>
  <c r="P70" s="1"/>
  <c r="K70"/>
  <c r="I70"/>
  <c r="T69"/>
  <c r="V69" s="1"/>
  <c r="R69"/>
  <c r="AG69" s="1"/>
  <c r="O69"/>
  <c r="P69" s="1"/>
  <c r="K69"/>
  <c r="I69"/>
  <c r="T68"/>
  <c r="V68" s="1"/>
  <c r="R68"/>
  <c r="AG68" s="1"/>
  <c r="O68"/>
  <c r="P68" s="1"/>
  <c r="K68"/>
  <c r="I68"/>
  <c r="T67"/>
  <c r="V67" s="1"/>
  <c r="R67"/>
  <c r="AG67" s="1"/>
  <c r="O67"/>
  <c r="P67" s="1"/>
  <c r="K67"/>
  <c r="I67"/>
  <c r="I65"/>
  <c r="K65"/>
  <c r="O65"/>
  <c r="R65"/>
  <c r="Y65" s="1"/>
  <c r="T65"/>
  <c r="V65" s="1"/>
  <c r="I63"/>
  <c r="K63"/>
  <c r="O63"/>
  <c r="P63" s="1"/>
  <c r="R63"/>
  <c r="Z63" s="1"/>
  <c r="T63"/>
  <c r="V63" s="1"/>
  <c r="AP65" l="1"/>
  <c r="AQ65" s="1"/>
  <c r="AR65" s="1"/>
  <c r="P65"/>
  <c r="Y69"/>
  <c r="Y72"/>
  <c r="Y67"/>
  <c r="Z70"/>
  <c r="AH70" s="1"/>
  <c r="Z73"/>
  <c r="AH73" s="1"/>
  <c r="AP68"/>
  <c r="AQ68" s="1"/>
  <c r="AR68" s="1"/>
  <c r="AP71"/>
  <c r="AQ71" s="1"/>
  <c r="AR71" s="1"/>
  <c r="Y71"/>
  <c r="AP70"/>
  <c r="AQ70" s="1"/>
  <c r="AR70" s="1"/>
  <c r="AP73"/>
  <c r="AQ73" s="1"/>
  <c r="AR73" s="1"/>
  <c r="AP67"/>
  <c r="AQ67" s="1"/>
  <c r="AR67" s="1"/>
  <c r="Y68"/>
  <c r="Z68"/>
  <c r="AP69"/>
  <c r="AQ69" s="1"/>
  <c r="AR69" s="1"/>
  <c r="Y70"/>
  <c r="Z71"/>
  <c r="AH71" s="1"/>
  <c r="AP72"/>
  <c r="AQ72" s="1"/>
  <c r="AR72" s="1"/>
  <c r="Y73"/>
  <c r="Z67"/>
  <c r="Z69"/>
  <c r="Z72"/>
  <c r="AG63"/>
  <c r="AH63" s="1"/>
  <c r="AG65"/>
  <c r="Z65"/>
  <c r="AA65" s="1"/>
  <c r="AC65" s="1"/>
  <c r="Y63"/>
  <c r="AA63" s="1"/>
  <c r="AC63" s="1"/>
  <c r="AM63" s="1"/>
  <c r="AP63"/>
  <c r="AQ63" s="1"/>
  <c r="AR63" s="1"/>
  <c r="I62"/>
  <c r="K62"/>
  <c r="O62"/>
  <c r="P62" s="1"/>
  <c r="R62"/>
  <c r="Y62" s="1"/>
  <c r="T62"/>
  <c r="V62" s="1"/>
  <c r="I61"/>
  <c r="K61"/>
  <c r="O61"/>
  <c r="R61"/>
  <c r="Y61" s="1"/>
  <c r="T61"/>
  <c r="V61" s="1"/>
  <c r="I60"/>
  <c r="K60"/>
  <c r="O60"/>
  <c r="P60" s="1"/>
  <c r="R60"/>
  <c r="Y60" s="1"/>
  <c r="T60"/>
  <c r="V60" s="1"/>
  <c r="AP61" l="1"/>
  <c r="AQ61" s="1"/>
  <c r="AR61" s="1"/>
  <c r="P61"/>
  <c r="AA67"/>
  <c r="AC67" s="1"/>
  <c r="AE67" s="1"/>
  <c r="AA69"/>
  <c r="AC69" s="1"/>
  <c r="AO69" s="1"/>
  <c r="AG60"/>
  <c r="AA72"/>
  <c r="AC72" s="1"/>
  <c r="AO72" s="1"/>
  <c r="Z60"/>
  <c r="AA60" s="1"/>
  <c r="AC60" s="1"/>
  <c r="AM60" s="1"/>
  <c r="AA68"/>
  <c r="AN68" s="1"/>
  <c r="AN65"/>
  <c r="AI70"/>
  <c r="AA71"/>
  <c r="AA70"/>
  <c r="AH65"/>
  <c r="AI65" s="1"/>
  <c r="AI73"/>
  <c r="AH67"/>
  <c r="AI67" s="1"/>
  <c r="AH68"/>
  <c r="AI68" s="1"/>
  <c r="AH72"/>
  <c r="AI72" s="1"/>
  <c r="AI71"/>
  <c r="AA73"/>
  <c r="AH69"/>
  <c r="AI69" s="1"/>
  <c r="AG62"/>
  <c r="AG61"/>
  <c r="AN63"/>
  <c r="AE65"/>
  <c r="AJ65"/>
  <c r="AK65" s="1"/>
  <c r="AL65" s="1"/>
  <c r="AM65"/>
  <c r="AO65"/>
  <c r="AO63"/>
  <c r="AE63"/>
  <c r="AJ63"/>
  <c r="AK63" s="1"/>
  <c r="AL63" s="1"/>
  <c r="AI63"/>
  <c r="Z62"/>
  <c r="AA62" s="1"/>
  <c r="AC62" s="1"/>
  <c r="AP62"/>
  <c r="AQ62" s="1"/>
  <c r="AR62" s="1"/>
  <c r="Z61"/>
  <c r="AA61" s="1"/>
  <c r="AC61" s="1"/>
  <c r="AP60"/>
  <c r="AQ60" s="1"/>
  <c r="AR60" s="1"/>
  <c r="I59"/>
  <c r="K59"/>
  <c r="O59"/>
  <c r="P59" s="1"/>
  <c r="R59"/>
  <c r="Y59" s="1"/>
  <c r="T59"/>
  <c r="V59" s="1"/>
  <c r="AS63" l="1"/>
  <c r="AS65"/>
  <c r="AM67"/>
  <c r="AN72"/>
  <c r="AM72"/>
  <c r="AJ67"/>
  <c r="AK67" s="1"/>
  <c r="AL67" s="1"/>
  <c r="AE72"/>
  <c r="AO67"/>
  <c r="AN67"/>
  <c r="AE69"/>
  <c r="AN69"/>
  <c r="AM69"/>
  <c r="AJ72"/>
  <c r="AK72" s="1"/>
  <c r="AL72" s="1"/>
  <c r="AJ69"/>
  <c r="AK69" s="1"/>
  <c r="AL69" s="1"/>
  <c r="AH60"/>
  <c r="AI60" s="1"/>
  <c r="AC68"/>
  <c r="AJ68" s="1"/>
  <c r="AK68" s="1"/>
  <c r="AL68" s="1"/>
  <c r="AN60"/>
  <c r="AG59"/>
  <c r="AN71"/>
  <c r="AC71"/>
  <c r="AC70"/>
  <c r="AN70"/>
  <c r="AH62"/>
  <c r="AI62" s="1"/>
  <c r="AH61"/>
  <c r="AI61" s="1"/>
  <c r="Z59"/>
  <c r="AA59" s="1"/>
  <c r="AC59" s="1"/>
  <c r="AN61"/>
  <c r="AC73"/>
  <c r="AN73"/>
  <c r="AO62"/>
  <c r="AE62"/>
  <c r="AJ62"/>
  <c r="AK62" s="1"/>
  <c r="AL62" s="1"/>
  <c r="AM62"/>
  <c r="AN62"/>
  <c r="AE61"/>
  <c r="AJ61"/>
  <c r="AK61" s="1"/>
  <c r="AL61" s="1"/>
  <c r="AM61"/>
  <c r="AO61"/>
  <c r="AO60"/>
  <c r="AE60"/>
  <c r="AJ60"/>
  <c r="AK60" s="1"/>
  <c r="AL60" s="1"/>
  <c r="AP59"/>
  <c r="AQ59" s="1"/>
  <c r="AR59" s="1"/>
  <c r="I58"/>
  <c r="K58"/>
  <c r="O58"/>
  <c r="P58" s="1"/>
  <c r="R58"/>
  <c r="AG58" s="1"/>
  <c r="T58"/>
  <c r="V58" s="1"/>
  <c r="I57"/>
  <c r="K57"/>
  <c r="O57"/>
  <c r="P57" s="1"/>
  <c r="R57"/>
  <c r="Z57" s="1"/>
  <c r="T57"/>
  <c r="V57" s="1"/>
  <c r="I56"/>
  <c r="K56"/>
  <c r="O56"/>
  <c r="P56" s="1"/>
  <c r="R56"/>
  <c r="Y56" s="1"/>
  <c r="T56"/>
  <c r="V56" s="1"/>
  <c r="I55"/>
  <c r="K55"/>
  <c r="O55"/>
  <c r="P55" s="1"/>
  <c r="R55"/>
  <c r="AG55" s="1"/>
  <c r="T55"/>
  <c r="V55" s="1"/>
  <c r="I54"/>
  <c r="K54"/>
  <c r="O54"/>
  <c r="P54" s="1"/>
  <c r="R54"/>
  <c r="AG54" s="1"/>
  <c r="T54"/>
  <c r="V54" s="1"/>
  <c r="I53"/>
  <c r="K53"/>
  <c r="O53"/>
  <c r="P53" s="1"/>
  <c r="R53"/>
  <c r="Y53" s="1"/>
  <c r="T53"/>
  <c r="V53" s="1"/>
  <c r="I52"/>
  <c r="K52"/>
  <c r="O52"/>
  <c r="P52" s="1"/>
  <c r="R52"/>
  <c r="Z52" s="1"/>
  <c r="T52"/>
  <c r="V52" s="1"/>
  <c r="I51"/>
  <c r="K51"/>
  <c r="O51"/>
  <c r="P51" s="1"/>
  <c r="R51"/>
  <c r="T51"/>
  <c r="V51" s="1"/>
  <c r="I50"/>
  <c r="K50"/>
  <c r="O50"/>
  <c r="P50" s="1"/>
  <c r="R50"/>
  <c r="AG50" s="1"/>
  <c r="T50"/>
  <c r="V50" s="1"/>
  <c r="I49"/>
  <c r="K49"/>
  <c r="O49"/>
  <c r="P49" s="1"/>
  <c r="R49"/>
  <c r="Z49" s="1"/>
  <c r="T49"/>
  <c r="V49" s="1"/>
  <c r="I48"/>
  <c r="K48"/>
  <c r="O48"/>
  <c r="P48" s="1"/>
  <c r="R48"/>
  <c r="AG48" s="1"/>
  <c r="T48"/>
  <c r="V48" s="1"/>
  <c r="I47"/>
  <c r="K47"/>
  <c r="O47"/>
  <c r="P47" s="1"/>
  <c r="R47"/>
  <c r="Y47" s="1"/>
  <c r="T47"/>
  <c r="V47" s="1"/>
  <c r="I46"/>
  <c r="K46"/>
  <c r="O46"/>
  <c r="P46" s="1"/>
  <c r="R46"/>
  <c r="Y46" s="1"/>
  <c r="T46"/>
  <c r="V46" s="1"/>
  <c r="AS69" l="1"/>
  <c r="AS67"/>
  <c r="AS72"/>
  <c r="AS61"/>
  <c r="AS60"/>
  <c r="AS62"/>
  <c r="AM68"/>
  <c r="AE68"/>
  <c r="AO68"/>
  <c r="Z46"/>
  <c r="AA46" s="1"/>
  <c r="AC46" s="1"/>
  <c r="AG53"/>
  <c r="Z56"/>
  <c r="AA56" s="1"/>
  <c r="AC56" s="1"/>
  <c r="AG46"/>
  <c r="AH59"/>
  <c r="AI59" s="1"/>
  <c r="AO71"/>
  <c r="AJ71"/>
  <c r="AK71" s="1"/>
  <c r="AL71" s="1"/>
  <c r="AE71"/>
  <c r="AM71"/>
  <c r="AE70"/>
  <c r="AM70"/>
  <c r="AO70"/>
  <c r="AJ70"/>
  <c r="AK70" s="1"/>
  <c r="AL70" s="1"/>
  <c r="Z54"/>
  <c r="AH54" s="1"/>
  <c r="AJ73"/>
  <c r="AK73" s="1"/>
  <c r="AL73" s="1"/>
  <c r="AE73"/>
  <c r="AM73"/>
  <c r="AO73"/>
  <c r="AG49"/>
  <c r="AH49" s="1"/>
  <c r="Z50"/>
  <c r="AH50" s="1"/>
  <c r="AG52"/>
  <c r="AH52" s="1"/>
  <c r="Z55"/>
  <c r="AH55" s="1"/>
  <c r="AG57"/>
  <c r="AH57" s="1"/>
  <c r="Z47"/>
  <c r="AA47" s="1"/>
  <c r="AC47" s="1"/>
  <c r="AN59"/>
  <c r="AM59"/>
  <c r="AE59"/>
  <c r="AJ59"/>
  <c r="AK59" s="1"/>
  <c r="AL59" s="1"/>
  <c r="AO59"/>
  <c r="AP58"/>
  <c r="AQ58" s="1"/>
  <c r="AR58" s="1"/>
  <c r="Y58"/>
  <c r="Z58"/>
  <c r="AH58" s="1"/>
  <c r="AP57"/>
  <c r="AQ57" s="1"/>
  <c r="AR57" s="1"/>
  <c r="Y57"/>
  <c r="AG56"/>
  <c r="AP56"/>
  <c r="AQ56" s="1"/>
  <c r="AR56" s="1"/>
  <c r="AP55"/>
  <c r="AQ55" s="1"/>
  <c r="AR55" s="1"/>
  <c r="Y55"/>
  <c r="AP54"/>
  <c r="AQ54" s="1"/>
  <c r="AR54" s="1"/>
  <c r="Y54"/>
  <c r="AP53"/>
  <c r="AQ53" s="1"/>
  <c r="AR53" s="1"/>
  <c r="Z53"/>
  <c r="AA53" s="1"/>
  <c r="AP52"/>
  <c r="AQ52" s="1"/>
  <c r="AR52" s="1"/>
  <c r="Y52"/>
  <c r="AP51"/>
  <c r="AQ51" s="1"/>
  <c r="AR51" s="1"/>
  <c r="AG51"/>
  <c r="Z51"/>
  <c r="Y51"/>
  <c r="AP50"/>
  <c r="AQ50" s="1"/>
  <c r="AR50" s="1"/>
  <c r="Y50"/>
  <c r="AP49"/>
  <c r="AQ49" s="1"/>
  <c r="AR49" s="1"/>
  <c r="Y49"/>
  <c r="AA49" s="1"/>
  <c r="AC49" s="1"/>
  <c r="AP48"/>
  <c r="AQ48" s="1"/>
  <c r="AR48" s="1"/>
  <c r="Z48"/>
  <c r="Y48"/>
  <c r="AG47"/>
  <c r="AP47"/>
  <c r="AQ47" s="1"/>
  <c r="AR47" s="1"/>
  <c r="AP46"/>
  <c r="AQ46" s="1"/>
  <c r="AR46" s="1"/>
  <c r="I45"/>
  <c r="K45"/>
  <c r="O45"/>
  <c r="P45" s="1"/>
  <c r="R45"/>
  <c r="Y45" s="1"/>
  <c r="T45"/>
  <c r="V45" s="1"/>
  <c r="I64"/>
  <c r="K64"/>
  <c r="O64"/>
  <c r="P64" s="1"/>
  <c r="R64"/>
  <c r="AG64" s="1"/>
  <c r="T64"/>
  <c r="V64" s="1"/>
  <c r="AS70" l="1"/>
  <c r="AS68"/>
  <c r="AS73"/>
  <c r="AS71"/>
  <c r="AS59"/>
  <c r="AH46"/>
  <c r="AI46" s="1"/>
  <c r="AH56"/>
  <c r="AI56" s="1"/>
  <c r="AH47"/>
  <c r="AI47" s="1"/>
  <c r="AG45"/>
  <c r="AA55"/>
  <c r="AN55" s="1"/>
  <c r="Z64"/>
  <c r="AH64" s="1"/>
  <c r="AH53"/>
  <c r="AI53" s="1"/>
  <c r="AI58"/>
  <c r="AA58"/>
  <c r="AI57"/>
  <c r="AA57"/>
  <c r="AE56"/>
  <c r="AO56"/>
  <c r="AM56"/>
  <c r="AJ56"/>
  <c r="AK56" s="1"/>
  <c r="AL56" s="1"/>
  <c r="AN56"/>
  <c r="AI55"/>
  <c r="AI54"/>
  <c r="AA54"/>
  <c r="AN53"/>
  <c r="AC53"/>
  <c r="AI52"/>
  <c r="AA52"/>
  <c r="AC52" s="1"/>
  <c r="AA51"/>
  <c r="AC51" s="1"/>
  <c r="AM51" s="1"/>
  <c r="AH51"/>
  <c r="AI51" s="1"/>
  <c r="AI50"/>
  <c r="AA50"/>
  <c r="AC50" s="1"/>
  <c r="AN49"/>
  <c r="AI49"/>
  <c r="AO49"/>
  <c r="AM49"/>
  <c r="AE49"/>
  <c r="AJ49"/>
  <c r="AK49" s="1"/>
  <c r="AL49" s="1"/>
  <c r="AA48"/>
  <c r="AH48"/>
  <c r="AI48" s="1"/>
  <c r="AN47"/>
  <c r="AJ47"/>
  <c r="AK47" s="1"/>
  <c r="AL47" s="1"/>
  <c r="AM47"/>
  <c r="AE47"/>
  <c r="AO47"/>
  <c r="AE46"/>
  <c r="AJ46"/>
  <c r="AK46" s="1"/>
  <c r="AL46" s="1"/>
  <c r="AM46"/>
  <c r="AO46"/>
  <c r="AN46"/>
  <c r="Z45"/>
  <c r="AA45" s="1"/>
  <c r="AC45" s="1"/>
  <c r="AP45"/>
  <c r="AQ45" s="1"/>
  <c r="AR45" s="1"/>
  <c r="AP64"/>
  <c r="AQ64" s="1"/>
  <c r="AR64" s="1"/>
  <c r="Y64"/>
  <c r="I44"/>
  <c r="K44"/>
  <c r="O44"/>
  <c r="P44" s="1"/>
  <c r="R44"/>
  <c r="Y44" s="1"/>
  <c r="T44"/>
  <c r="V44" s="1"/>
  <c r="I43"/>
  <c r="K43"/>
  <c r="O43"/>
  <c r="R43"/>
  <c r="Y43" s="1"/>
  <c r="T43"/>
  <c r="V43" s="1"/>
  <c r="I42"/>
  <c r="K42"/>
  <c r="O42"/>
  <c r="P42" s="1"/>
  <c r="R42"/>
  <c r="Y42" s="1"/>
  <c r="T42"/>
  <c r="V42" s="1"/>
  <c r="I41"/>
  <c r="K41"/>
  <c r="O41"/>
  <c r="P41" s="1"/>
  <c r="R41"/>
  <c r="Z41" s="1"/>
  <c r="T41"/>
  <c r="V41" s="1"/>
  <c r="I40"/>
  <c r="K40"/>
  <c r="O40"/>
  <c r="P40" s="1"/>
  <c r="R40"/>
  <c r="Z40" s="1"/>
  <c r="T40"/>
  <c r="V40" s="1"/>
  <c r="I39"/>
  <c r="K39"/>
  <c r="O39"/>
  <c r="P39" s="1"/>
  <c r="R39"/>
  <c r="Z39" s="1"/>
  <c r="T39"/>
  <c r="V39" s="1"/>
  <c r="AP43" l="1"/>
  <c r="AQ43" s="1"/>
  <c r="AR43" s="1"/>
  <c r="P43"/>
  <c r="AS56"/>
  <c r="AS49"/>
  <c r="AS47"/>
  <c r="AS46"/>
  <c r="AC55"/>
  <c r="AM55" s="1"/>
  <c r="Z44"/>
  <c r="AA44" s="1"/>
  <c r="AC44" s="1"/>
  <c r="AJ44" s="1"/>
  <c r="AK44" s="1"/>
  <c r="AL44" s="1"/>
  <c r="AN58"/>
  <c r="AC58"/>
  <c r="AN57"/>
  <c r="AC57"/>
  <c r="AN54"/>
  <c r="AC54"/>
  <c r="AJ53"/>
  <c r="AK53" s="1"/>
  <c r="AL53" s="1"/>
  <c r="AO53"/>
  <c r="AM53"/>
  <c r="AE53"/>
  <c r="AO52"/>
  <c r="AM52"/>
  <c r="AE52"/>
  <c r="AJ52"/>
  <c r="AK52" s="1"/>
  <c r="AL52" s="1"/>
  <c r="AN52"/>
  <c r="AE51"/>
  <c r="AO51"/>
  <c r="AJ51"/>
  <c r="AK51" s="1"/>
  <c r="AL51" s="1"/>
  <c r="AN51"/>
  <c r="AN50"/>
  <c r="AM50"/>
  <c r="AE50"/>
  <c r="AJ50"/>
  <c r="AK50" s="1"/>
  <c r="AL50" s="1"/>
  <c r="AO50"/>
  <c r="AC48"/>
  <c r="AN48"/>
  <c r="AN45"/>
  <c r="AH45"/>
  <c r="AI45" s="1"/>
  <c r="AE45"/>
  <c r="AJ45"/>
  <c r="AK45" s="1"/>
  <c r="AL45" s="1"/>
  <c r="AM45"/>
  <c r="AO45"/>
  <c r="AA64"/>
  <c r="AC64" s="1"/>
  <c r="AI64"/>
  <c r="Y39"/>
  <c r="AA39" s="1"/>
  <c r="AC39" s="1"/>
  <c r="AG39"/>
  <c r="AH39" s="1"/>
  <c r="AG44"/>
  <c r="AG41"/>
  <c r="AH41" s="1"/>
  <c r="Y40"/>
  <c r="AA40" s="1"/>
  <c r="AC40" s="1"/>
  <c r="AG42"/>
  <c r="AG43"/>
  <c r="Y41"/>
  <c r="AA41" s="1"/>
  <c r="AC41" s="1"/>
  <c r="AP44"/>
  <c r="AQ44" s="1"/>
  <c r="AR44" s="1"/>
  <c r="Z43"/>
  <c r="AA43" s="1"/>
  <c r="Z42"/>
  <c r="AA42" s="1"/>
  <c r="AC42" s="1"/>
  <c r="AE42" s="1"/>
  <c r="AP42"/>
  <c r="AQ42" s="1"/>
  <c r="AR42" s="1"/>
  <c r="AG40"/>
  <c r="AH40" s="1"/>
  <c r="AP41"/>
  <c r="AQ41" s="1"/>
  <c r="AR41" s="1"/>
  <c r="AP40"/>
  <c r="AQ40" s="1"/>
  <c r="AR40" s="1"/>
  <c r="AP39"/>
  <c r="AQ39" s="1"/>
  <c r="AR39" s="1"/>
  <c r="I38"/>
  <c r="K38"/>
  <c r="O38"/>
  <c r="P38" s="1"/>
  <c r="R38"/>
  <c r="AG38" s="1"/>
  <c r="T38"/>
  <c r="V38" s="1"/>
  <c r="I37"/>
  <c r="K37"/>
  <c r="O37"/>
  <c r="P37" s="1"/>
  <c r="R37"/>
  <c r="AG37" s="1"/>
  <c r="T37"/>
  <c r="V37" s="1"/>
  <c r="K5"/>
  <c r="K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4"/>
  <c r="T36"/>
  <c r="V36" s="1"/>
  <c r="R36"/>
  <c r="O36"/>
  <c r="I36"/>
  <c r="T35"/>
  <c r="V35" s="1"/>
  <c r="R35"/>
  <c r="O35"/>
  <c r="P35" s="1"/>
  <c r="I35"/>
  <c r="T34"/>
  <c r="V34" s="1"/>
  <c r="R34"/>
  <c r="O34"/>
  <c r="I34"/>
  <c r="T33"/>
  <c r="V33" s="1"/>
  <c r="R33"/>
  <c r="Z33" s="1"/>
  <c r="O33"/>
  <c r="P33" s="1"/>
  <c r="I33"/>
  <c r="T32"/>
  <c r="V32" s="1"/>
  <c r="R32"/>
  <c r="AG32" s="1"/>
  <c r="O32"/>
  <c r="I32"/>
  <c r="T31"/>
  <c r="V31" s="1"/>
  <c r="R31"/>
  <c r="AG31" s="1"/>
  <c r="O31"/>
  <c r="P31" s="1"/>
  <c r="I31"/>
  <c r="T30"/>
  <c r="V30" s="1"/>
  <c r="R30"/>
  <c r="AG30" s="1"/>
  <c r="O30"/>
  <c r="I30"/>
  <c r="T29"/>
  <c r="V29" s="1"/>
  <c r="R29"/>
  <c r="Z29" s="1"/>
  <c r="O29"/>
  <c r="P29" s="1"/>
  <c r="I29"/>
  <c r="T28"/>
  <c r="V28" s="1"/>
  <c r="R28"/>
  <c r="AG28" s="1"/>
  <c r="O28"/>
  <c r="I28"/>
  <c r="T27"/>
  <c r="V27" s="1"/>
  <c r="R27"/>
  <c r="Y27" s="1"/>
  <c r="O27"/>
  <c r="P27" s="1"/>
  <c r="I27"/>
  <c r="T26"/>
  <c r="V26" s="1"/>
  <c r="R26"/>
  <c r="AG26" s="1"/>
  <c r="O26"/>
  <c r="I26"/>
  <c r="T25"/>
  <c r="V25" s="1"/>
  <c r="R25"/>
  <c r="AG25" s="1"/>
  <c r="O25"/>
  <c r="P25" s="1"/>
  <c r="I25"/>
  <c r="T24"/>
  <c r="V24" s="1"/>
  <c r="R24"/>
  <c r="AG24" s="1"/>
  <c r="O24"/>
  <c r="I24"/>
  <c r="T23"/>
  <c r="V23" s="1"/>
  <c r="R23"/>
  <c r="AG23" s="1"/>
  <c r="O23"/>
  <c r="P23" s="1"/>
  <c r="I23"/>
  <c r="T22"/>
  <c r="V22" s="1"/>
  <c r="R22"/>
  <c r="AG22" s="1"/>
  <c r="O22"/>
  <c r="I22"/>
  <c r="T21"/>
  <c r="V21" s="1"/>
  <c r="R21"/>
  <c r="AG21" s="1"/>
  <c r="O21"/>
  <c r="P21" s="1"/>
  <c r="I21"/>
  <c r="T20"/>
  <c r="V20" s="1"/>
  <c r="R20"/>
  <c r="AG20" s="1"/>
  <c r="O20"/>
  <c r="I20"/>
  <c r="T19"/>
  <c r="V19" s="1"/>
  <c r="R19"/>
  <c r="AG19" s="1"/>
  <c r="O19"/>
  <c r="P19" s="1"/>
  <c r="I19"/>
  <c r="T18"/>
  <c r="V18" s="1"/>
  <c r="R18"/>
  <c r="AG18" s="1"/>
  <c r="O18"/>
  <c r="I18"/>
  <c r="T17"/>
  <c r="V17" s="1"/>
  <c r="R17"/>
  <c r="AG17" s="1"/>
  <c r="O17"/>
  <c r="P17" s="1"/>
  <c r="I17"/>
  <c r="T16"/>
  <c r="V16" s="1"/>
  <c r="R16"/>
  <c r="AG16" s="1"/>
  <c r="O16"/>
  <c r="I16"/>
  <c r="T15"/>
  <c r="V15" s="1"/>
  <c r="R15"/>
  <c r="AG15" s="1"/>
  <c r="O15"/>
  <c r="P15" s="1"/>
  <c r="I15"/>
  <c r="T14"/>
  <c r="V14" s="1"/>
  <c r="R14"/>
  <c r="AG14" s="1"/>
  <c r="O14"/>
  <c r="I14"/>
  <c r="T13"/>
  <c r="V13" s="1"/>
  <c r="R13"/>
  <c r="AG13" s="1"/>
  <c r="O13"/>
  <c r="P13" s="1"/>
  <c r="I13"/>
  <c r="T12"/>
  <c r="V12" s="1"/>
  <c r="R12"/>
  <c r="AG12" s="1"/>
  <c r="O12"/>
  <c r="I12"/>
  <c r="T11"/>
  <c r="V11" s="1"/>
  <c r="R11"/>
  <c r="AG11" s="1"/>
  <c r="O11"/>
  <c r="P11" s="1"/>
  <c r="I11"/>
  <c r="T10"/>
  <c r="V10" s="1"/>
  <c r="R10"/>
  <c r="AG10" s="1"/>
  <c r="O10"/>
  <c r="P10" s="1"/>
  <c r="I10"/>
  <c r="T9"/>
  <c r="V9" s="1"/>
  <c r="R9"/>
  <c r="O9"/>
  <c r="I9"/>
  <c r="T8"/>
  <c r="V8" s="1"/>
  <c r="R8"/>
  <c r="AG8" s="1"/>
  <c r="O8"/>
  <c r="P8" s="1"/>
  <c r="I8"/>
  <c r="T6"/>
  <c r="V6" s="1"/>
  <c r="R6"/>
  <c r="O6"/>
  <c r="I6"/>
  <c r="T5"/>
  <c r="V5" s="1"/>
  <c r="R5"/>
  <c r="AG5" s="1"/>
  <c r="O5"/>
  <c r="P5" s="1"/>
  <c r="I5"/>
  <c r="T4"/>
  <c r="V4" s="1"/>
  <c r="R4"/>
  <c r="AG4" s="1"/>
  <c r="O4"/>
  <c r="I4"/>
  <c r="AP4" l="1"/>
  <c r="AQ4" s="1"/>
  <c r="AR4" s="1"/>
  <c r="P4"/>
  <c r="AP6"/>
  <c r="AQ6" s="1"/>
  <c r="AR6" s="1"/>
  <c r="P6"/>
  <c r="AP9"/>
  <c r="AQ9" s="1"/>
  <c r="AR9" s="1"/>
  <c r="P9"/>
  <c r="AP12"/>
  <c r="AQ12" s="1"/>
  <c r="AR12" s="1"/>
  <c r="P12"/>
  <c r="AP14"/>
  <c r="AQ14" s="1"/>
  <c r="AR14" s="1"/>
  <c r="P14"/>
  <c r="AP16"/>
  <c r="AQ16" s="1"/>
  <c r="AR16" s="1"/>
  <c r="P16"/>
  <c r="AP18"/>
  <c r="AQ18" s="1"/>
  <c r="AR18" s="1"/>
  <c r="P18"/>
  <c r="AP20"/>
  <c r="AQ20" s="1"/>
  <c r="AR20" s="1"/>
  <c r="P20"/>
  <c r="AP22"/>
  <c r="AQ22" s="1"/>
  <c r="AR22" s="1"/>
  <c r="P22"/>
  <c r="AP24"/>
  <c r="AQ24" s="1"/>
  <c r="AR24" s="1"/>
  <c r="P24"/>
  <c r="AP26"/>
  <c r="AQ26" s="1"/>
  <c r="AR26" s="1"/>
  <c r="P26"/>
  <c r="AP28"/>
  <c r="AQ28" s="1"/>
  <c r="AR28" s="1"/>
  <c r="P28"/>
  <c r="AP30"/>
  <c r="AQ30" s="1"/>
  <c r="AR30" s="1"/>
  <c r="P30"/>
  <c r="AP32"/>
  <c r="AQ32" s="1"/>
  <c r="AR32" s="1"/>
  <c r="P32"/>
  <c r="AP34"/>
  <c r="AQ34" s="1"/>
  <c r="AR34" s="1"/>
  <c r="P34"/>
  <c r="AP36"/>
  <c r="AQ36" s="1"/>
  <c r="AR36" s="1"/>
  <c r="P36"/>
  <c r="AS50"/>
  <c r="AS53"/>
  <c r="AN43"/>
  <c r="AS51"/>
  <c r="AS52"/>
  <c r="AS45"/>
  <c r="AO55"/>
  <c r="AS55" s="1"/>
  <c r="AN44"/>
  <c r="AJ55"/>
  <c r="AK55" s="1"/>
  <c r="AL55" s="1"/>
  <c r="AE55"/>
  <c r="AH44"/>
  <c r="AI44" s="1"/>
  <c r="AN42"/>
  <c r="AO42"/>
  <c r="AI40"/>
  <c r="AJ42"/>
  <c r="AK42" s="1"/>
  <c r="AL42" s="1"/>
  <c r="AH42"/>
  <c r="AI42" s="1"/>
  <c r="AM58"/>
  <c r="AE58"/>
  <c r="AJ58"/>
  <c r="AK58" s="1"/>
  <c r="AL58" s="1"/>
  <c r="AO58"/>
  <c r="AJ57"/>
  <c r="AK57" s="1"/>
  <c r="AL57" s="1"/>
  <c r="AM57"/>
  <c r="AE57"/>
  <c r="AO57"/>
  <c r="AE54"/>
  <c r="AO54"/>
  <c r="AM54"/>
  <c r="AJ54"/>
  <c r="AK54" s="1"/>
  <c r="AL54" s="1"/>
  <c r="AE48"/>
  <c r="AJ48"/>
  <c r="AK48" s="1"/>
  <c r="AL48" s="1"/>
  <c r="AO48"/>
  <c r="AM48"/>
  <c r="AO64"/>
  <c r="AM64"/>
  <c r="AE64"/>
  <c r="AJ64"/>
  <c r="AK64" s="1"/>
  <c r="AL64" s="1"/>
  <c r="AN64"/>
  <c r="AN39"/>
  <c r="AM42"/>
  <c r="AE44"/>
  <c r="AN41"/>
  <c r="AO44"/>
  <c r="AI41"/>
  <c r="AM44"/>
  <c r="AG34"/>
  <c r="Y34"/>
  <c r="AG35"/>
  <c r="Y35"/>
  <c r="AG36"/>
  <c r="Y36"/>
  <c r="Z37"/>
  <c r="Y37"/>
  <c r="Z38"/>
  <c r="Y38"/>
  <c r="AC43"/>
  <c r="AE43" s="1"/>
  <c r="AH43"/>
  <c r="AI43" s="1"/>
  <c r="AI39"/>
  <c r="AE41"/>
  <c r="AJ41"/>
  <c r="AK41" s="1"/>
  <c r="AL41" s="1"/>
  <c r="AM41"/>
  <c r="AO41"/>
  <c r="AJ40"/>
  <c r="AK40" s="1"/>
  <c r="AL40" s="1"/>
  <c r="AM40"/>
  <c r="AE40"/>
  <c r="AO40"/>
  <c r="AN40"/>
  <c r="AE39"/>
  <c r="AJ39"/>
  <c r="AK39" s="1"/>
  <c r="AL39" s="1"/>
  <c r="AO39"/>
  <c r="AM39"/>
  <c r="AP38"/>
  <c r="AQ38" s="1"/>
  <c r="AR38" s="1"/>
  <c r="AP37"/>
  <c r="AQ37" s="1"/>
  <c r="AR37" s="1"/>
  <c r="Y10"/>
  <c r="Y13"/>
  <c r="Y17"/>
  <c r="Y21"/>
  <c r="Y25"/>
  <c r="AG29"/>
  <c r="AH29" s="1"/>
  <c r="AG33"/>
  <c r="AH33" s="1"/>
  <c r="Y8"/>
  <c r="Y5"/>
  <c r="Y11"/>
  <c r="Y15"/>
  <c r="Y19"/>
  <c r="Y23"/>
  <c r="Y28"/>
  <c r="Y30"/>
  <c r="Y32"/>
  <c r="AP17"/>
  <c r="AQ17" s="1"/>
  <c r="AR17" s="1"/>
  <c r="AP5"/>
  <c r="AQ5" s="1"/>
  <c r="AR5" s="1"/>
  <c r="AP11"/>
  <c r="AQ11" s="1"/>
  <c r="AR11" s="1"/>
  <c r="AP15"/>
  <c r="AQ15" s="1"/>
  <c r="AR15" s="1"/>
  <c r="AP19"/>
  <c r="AQ19" s="1"/>
  <c r="AR19" s="1"/>
  <c r="AP23"/>
  <c r="AQ23" s="1"/>
  <c r="AR23" s="1"/>
  <c r="AP27"/>
  <c r="AQ27" s="1"/>
  <c r="AR27" s="1"/>
  <c r="AP8"/>
  <c r="AQ8" s="1"/>
  <c r="AR8" s="1"/>
  <c r="AP10"/>
  <c r="AQ10" s="1"/>
  <c r="AR10" s="1"/>
  <c r="AP13"/>
  <c r="AQ13" s="1"/>
  <c r="AR13" s="1"/>
  <c r="AP21"/>
  <c r="AQ21" s="1"/>
  <c r="AR21" s="1"/>
  <c r="AP25"/>
  <c r="AQ25" s="1"/>
  <c r="AR25" s="1"/>
  <c r="Y29"/>
  <c r="AA29" s="1"/>
  <c r="AC29" s="1"/>
  <c r="AP31"/>
  <c r="AQ31" s="1"/>
  <c r="AR31" s="1"/>
  <c r="Y33"/>
  <c r="AA33" s="1"/>
  <c r="AC33" s="1"/>
  <c r="AP35"/>
  <c r="AQ35" s="1"/>
  <c r="AR35" s="1"/>
  <c r="Z6"/>
  <c r="AG6"/>
  <c r="Z9"/>
  <c r="AG9"/>
  <c r="Y4"/>
  <c r="Z5"/>
  <c r="Y6"/>
  <c r="Z8"/>
  <c r="Y9"/>
  <c r="Z10"/>
  <c r="Z11"/>
  <c r="Y12"/>
  <c r="Z13"/>
  <c r="Y14"/>
  <c r="Z15"/>
  <c r="Y16"/>
  <c r="Z17"/>
  <c r="Y18"/>
  <c r="Z19"/>
  <c r="Y20"/>
  <c r="Z21"/>
  <c r="Y22"/>
  <c r="Z23"/>
  <c r="Y24"/>
  <c r="Z25"/>
  <c r="Y26"/>
  <c r="Z27"/>
  <c r="AA27" s="1"/>
  <c r="AG27"/>
  <c r="Z31"/>
  <c r="AP29"/>
  <c r="AQ29" s="1"/>
  <c r="AR29" s="1"/>
  <c r="Y31"/>
  <c r="AP33"/>
  <c r="AQ33" s="1"/>
  <c r="AR33" s="1"/>
  <c r="Z4"/>
  <c r="Z12"/>
  <c r="Z14"/>
  <c r="Z16"/>
  <c r="Z18"/>
  <c r="Z20"/>
  <c r="Z22"/>
  <c r="Z24"/>
  <c r="Z26"/>
  <c r="Z28"/>
  <c r="Z30"/>
  <c r="Z32"/>
  <c r="Z35"/>
  <c r="Z34"/>
  <c r="Z36"/>
  <c r="AS57" l="1"/>
  <c r="AS64"/>
  <c r="AS54"/>
  <c r="AS40"/>
  <c r="AS44"/>
  <c r="AS39"/>
  <c r="AS48"/>
  <c r="AS42"/>
  <c r="AS41"/>
  <c r="AS58"/>
  <c r="AA37"/>
  <c r="AC37" s="1"/>
  <c r="AM37" s="1"/>
  <c r="AA38"/>
  <c r="AH37"/>
  <c r="AI37" s="1"/>
  <c r="AJ43"/>
  <c r="AK43" s="1"/>
  <c r="AL43" s="1"/>
  <c r="AO43"/>
  <c r="AM43"/>
  <c r="AH38"/>
  <c r="AI38" s="1"/>
  <c r="AN27"/>
  <c r="AA23"/>
  <c r="AC23" s="1"/>
  <c r="AM23" s="1"/>
  <c r="AA21"/>
  <c r="AC21" s="1"/>
  <c r="AJ21" s="1"/>
  <c r="AK21" s="1"/>
  <c r="AL21" s="1"/>
  <c r="AA8"/>
  <c r="AC8" s="1"/>
  <c r="AE8" s="1"/>
  <c r="AA35"/>
  <c r="AC35" s="1"/>
  <c r="AM35" s="1"/>
  <c r="AA20"/>
  <c r="AN20" s="1"/>
  <c r="AA12"/>
  <c r="AN12" s="1"/>
  <c r="AA25"/>
  <c r="AC25" s="1"/>
  <c r="AO25" s="1"/>
  <c r="AA17"/>
  <c r="AC17" s="1"/>
  <c r="AO17" s="1"/>
  <c r="AA10"/>
  <c r="AC10" s="1"/>
  <c r="AJ10" s="1"/>
  <c r="AK10" s="1"/>
  <c r="AL10" s="1"/>
  <c r="AA11"/>
  <c r="AC11" s="1"/>
  <c r="AM11" s="1"/>
  <c r="AA18"/>
  <c r="AN18" s="1"/>
  <c r="AA4"/>
  <c r="AC4" s="1"/>
  <c r="AO4" s="1"/>
  <c r="AA24"/>
  <c r="AN24" s="1"/>
  <c r="AA16"/>
  <c r="AN16" s="1"/>
  <c r="AA13"/>
  <c r="AC13" s="1"/>
  <c r="AE13" s="1"/>
  <c r="AA19"/>
  <c r="AC19" s="1"/>
  <c r="AE19" s="1"/>
  <c r="AA30"/>
  <c r="AC30" s="1"/>
  <c r="AE30" s="1"/>
  <c r="AA14"/>
  <c r="AN14" s="1"/>
  <c r="AA15"/>
  <c r="AC15" s="1"/>
  <c r="AM15" s="1"/>
  <c r="AA5"/>
  <c r="AC5" s="1"/>
  <c r="AO5" s="1"/>
  <c r="AA36"/>
  <c r="AC36" s="1"/>
  <c r="AO36" s="1"/>
  <c r="AH27"/>
  <c r="AI27" s="1"/>
  <c r="AH6"/>
  <c r="AI6" s="1"/>
  <c r="AA34"/>
  <c r="AC34" s="1"/>
  <c r="AA26"/>
  <c r="AN26" s="1"/>
  <c r="AA22"/>
  <c r="AN22" s="1"/>
  <c r="AC27"/>
  <c r="AE27" s="1"/>
  <c r="AN29"/>
  <c r="AN33"/>
  <c r="AA9"/>
  <c r="AJ33"/>
  <c r="AK33" s="1"/>
  <c r="AL33" s="1"/>
  <c r="AE33"/>
  <c r="AO33"/>
  <c r="AM33"/>
  <c r="AJ29"/>
  <c r="AK29" s="1"/>
  <c r="AL29" s="1"/>
  <c r="AE29"/>
  <c r="AO29"/>
  <c r="AM29"/>
  <c r="AH28"/>
  <c r="AI28" s="1"/>
  <c r="AA28"/>
  <c r="AH36"/>
  <c r="AI36" s="1"/>
  <c r="AH35"/>
  <c r="AI35" s="1"/>
  <c r="AA31"/>
  <c r="AH9"/>
  <c r="AI9" s="1"/>
  <c r="AA6"/>
  <c r="AC6" s="1"/>
  <c r="AI33"/>
  <c r="AI29"/>
  <c r="AH30"/>
  <c r="AI30" s="1"/>
  <c r="AH24"/>
  <c r="AI24" s="1"/>
  <c r="AH23"/>
  <c r="AI23" s="1"/>
  <c r="AH15"/>
  <c r="AI15" s="1"/>
  <c r="AH5"/>
  <c r="AI5" s="1"/>
  <c r="AH22"/>
  <c r="AI22" s="1"/>
  <c r="AH21"/>
  <c r="AI21" s="1"/>
  <c r="AH14"/>
  <c r="AI14" s="1"/>
  <c r="AH13"/>
  <c r="AI13" s="1"/>
  <c r="AH8"/>
  <c r="AI8" s="1"/>
  <c r="AH4"/>
  <c r="AI4" s="1"/>
  <c r="AH11"/>
  <c r="AI11" s="1"/>
  <c r="AH32"/>
  <c r="AI32" s="1"/>
  <c r="AA32"/>
  <c r="AH34"/>
  <c r="AI34" s="1"/>
  <c r="AH31"/>
  <c r="AI31" s="1"/>
  <c r="AH20"/>
  <c r="AI20" s="1"/>
  <c r="AH19"/>
  <c r="AI19" s="1"/>
  <c r="AH26"/>
  <c r="AI26" s="1"/>
  <c r="AH25"/>
  <c r="AI25" s="1"/>
  <c r="AH18"/>
  <c r="AI18" s="1"/>
  <c r="AH17"/>
  <c r="AI17" s="1"/>
  <c r="AH10"/>
  <c r="AI10" s="1"/>
  <c r="AH16"/>
  <c r="AI16" s="1"/>
  <c r="AH12"/>
  <c r="AI12" s="1"/>
  <c r="AS29" l="1"/>
  <c r="AS43"/>
  <c r="AS33"/>
  <c r="AM21"/>
  <c r="AO23"/>
  <c r="AE11"/>
  <c r="AJ37"/>
  <c r="AK37" s="1"/>
  <c r="AL37" s="1"/>
  <c r="AE37"/>
  <c r="AN37"/>
  <c r="AO37"/>
  <c r="AJ23"/>
  <c r="AK23" s="1"/>
  <c r="AL23" s="1"/>
  <c r="AM25"/>
  <c r="AC38"/>
  <c r="AN38"/>
  <c r="AN23"/>
  <c r="AJ11"/>
  <c r="AK11" s="1"/>
  <c r="AL11" s="1"/>
  <c r="AE23"/>
  <c r="AN21"/>
  <c r="AO21"/>
  <c r="AE35"/>
  <c r="AN35"/>
  <c r="AO35"/>
  <c r="AC26"/>
  <c r="AO26" s="1"/>
  <c r="AJ4"/>
  <c r="AK4" s="1"/>
  <c r="AL4" s="1"/>
  <c r="AC14"/>
  <c r="AO14" s="1"/>
  <c r="AO13"/>
  <c r="AJ13"/>
  <c r="AK13" s="1"/>
  <c r="AL13" s="1"/>
  <c r="AN11"/>
  <c r="AN25"/>
  <c r="AE25"/>
  <c r="AJ35"/>
  <c r="AK35" s="1"/>
  <c r="AL35" s="1"/>
  <c r="AJ25"/>
  <c r="AK25" s="1"/>
  <c r="AL25" s="1"/>
  <c r="AO11"/>
  <c r="AN17"/>
  <c r="AE36"/>
  <c r="AJ30"/>
  <c r="AK30" s="1"/>
  <c r="AL30" s="1"/>
  <c r="AJ8"/>
  <c r="AK8" s="1"/>
  <c r="AL8" s="1"/>
  <c r="AM4"/>
  <c r="AM8"/>
  <c r="AE5"/>
  <c r="AO8"/>
  <c r="AE17"/>
  <c r="AE21"/>
  <c r="AC12"/>
  <c r="AM12" s="1"/>
  <c r="AN8"/>
  <c r="AM10"/>
  <c r="AJ17"/>
  <c r="AK17" s="1"/>
  <c r="AL17" s="1"/>
  <c r="AJ27"/>
  <c r="AK27" s="1"/>
  <c r="AL27" s="1"/>
  <c r="AJ19"/>
  <c r="AK19" s="1"/>
  <c r="AL19" s="1"/>
  <c r="AN5"/>
  <c r="AJ5"/>
  <c r="AK5" s="1"/>
  <c r="AL5" s="1"/>
  <c r="AO10"/>
  <c r="AM27"/>
  <c r="AM5"/>
  <c r="AE10"/>
  <c r="AM17"/>
  <c r="AO27"/>
  <c r="AC18"/>
  <c r="AE18" s="1"/>
  <c r="AO15"/>
  <c r="AC20"/>
  <c r="AE20" s="1"/>
  <c r="AO19"/>
  <c r="AN10"/>
  <c r="AN19"/>
  <c r="AM19"/>
  <c r="AE4"/>
  <c r="AO30"/>
  <c r="AN4"/>
  <c r="AN34"/>
  <c r="AC16"/>
  <c r="AE16" s="1"/>
  <c r="AJ15"/>
  <c r="AK15" s="1"/>
  <c r="AL15" s="1"/>
  <c r="AN36"/>
  <c r="AN15"/>
  <c r="AN30"/>
  <c r="AM13"/>
  <c r="AM36"/>
  <c r="AE15"/>
  <c r="AM30"/>
  <c r="AN13"/>
  <c r="AC24"/>
  <c r="AJ24" s="1"/>
  <c r="AK24" s="1"/>
  <c r="AL24" s="1"/>
  <c r="AC22"/>
  <c r="AJ22" s="1"/>
  <c r="AK22" s="1"/>
  <c r="AL22" s="1"/>
  <c r="AJ36"/>
  <c r="AK36" s="1"/>
  <c r="AL36" s="1"/>
  <c r="AC9"/>
  <c r="AN9"/>
  <c r="AJ6"/>
  <c r="AK6" s="1"/>
  <c r="AL6" s="1"/>
  <c r="AE6"/>
  <c r="AO6"/>
  <c r="AM6"/>
  <c r="AN32"/>
  <c r="AC32"/>
  <c r="AN28"/>
  <c r="AC28"/>
  <c r="AN6"/>
  <c r="AN31"/>
  <c r="AC31"/>
  <c r="AO34"/>
  <c r="AM34"/>
  <c r="AJ34"/>
  <c r="AK34" s="1"/>
  <c r="AL34" s="1"/>
  <c r="AE34"/>
  <c r="AS36" l="1"/>
  <c r="AS5"/>
  <c r="AS37"/>
  <c r="AS27"/>
  <c r="AS8"/>
  <c r="AS4"/>
  <c r="AS13"/>
  <c r="AS19"/>
  <c r="AS17"/>
  <c r="AS34"/>
  <c r="AS15"/>
  <c r="AS30"/>
  <c r="AS10"/>
  <c r="AS35"/>
  <c r="AS23"/>
  <c r="AS25"/>
  <c r="AS6"/>
  <c r="AS21"/>
  <c r="AS11"/>
  <c r="AE26"/>
  <c r="AE14"/>
  <c r="AJ26"/>
  <c r="AK26" s="1"/>
  <c r="AL26" s="1"/>
  <c r="AM14"/>
  <c r="AS14" s="1"/>
  <c r="AM26"/>
  <c r="AS26" s="1"/>
  <c r="AM38"/>
  <c r="AE38"/>
  <c r="AJ38"/>
  <c r="AK38" s="1"/>
  <c r="AL38" s="1"/>
  <c r="AO38"/>
  <c r="AJ14"/>
  <c r="AK14" s="1"/>
  <c r="AL14" s="1"/>
  <c r="AJ20"/>
  <c r="AK20" s="1"/>
  <c r="AL20" s="1"/>
  <c r="AJ16"/>
  <c r="AK16" s="1"/>
  <c r="AL16" s="1"/>
  <c r="AO16"/>
  <c r="AE22"/>
  <c r="AJ12"/>
  <c r="AK12" s="1"/>
  <c r="AL12" s="1"/>
  <c r="AJ18"/>
  <c r="AK18" s="1"/>
  <c r="AL18" s="1"/>
  <c r="AO20"/>
  <c r="AO12"/>
  <c r="AS12" s="1"/>
  <c r="AM18"/>
  <c r="AM20"/>
  <c r="AE12"/>
  <c r="AM22"/>
  <c r="AO18"/>
  <c r="AE24"/>
  <c r="AM24"/>
  <c r="AO22"/>
  <c r="AM16"/>
  <c r="AO24"/>
  <c r="AJ9"/>
  <c r="AK9" s="1"/>
  <c r="AL9" s="1"/>
  <c r="AO9"/>
  <c r="AE9"/>
  <c r="AM9"/>
  <c r="AJ31"/>
  <c r="AK31" s="1"/>
  <c r="AL31" s="1"/>
  <c r="AE31"/>
  <c r="AM31"/>
  <c r="AO31"/>
  <c r="AO28"/>
  <c r="AM28"/>
  <c r="AJ28"/>
  <c r="AK28" s="1"/>
  <c r="AL28" s="1"/>
  <c r="AE28"/>
  <c r="AO32"/>
  <c r="AM32"/>
  <c r="AJ32"/>
  <c r="AK32" s="1"/>
  <c r="AL32" s="1"/>
  <c r="AE32"/>
  <c r="AS24" l="1"/>
  <c r="AS31"/>
  <c r="AS32"/>
  <c r="AS28"/>
  <c r="AS20"/>
  <c r="AS38"/>
  <c r="AS9"/>
  <c r="AS22"/>
  <c r="AS16"/>
  <c r="AS18"/>
</calcChain>
</file>

<file path=xl/sharedStrings.xml><?xml version="1.0" encoding="utf-8"?>
<sst xmlns="http://schemas.openxmlformats.org/spreadsheetml/2006/main" count="350" uniqueCount="150">
  <si>
    <t>Address</t>
  </si>
  <si>
    <t>List Price</t>
  </si>
  <si>
    <t>Beds</t>
  </si>
  <si>
    <t>Baths</t>
  </si>
  <si>
    <t>Down Payment</t>
  </si>
  <si>
    <t>Estimated Mortgage</t>
  </si>
  <si>
    <t>Asking Price</t>
  </si>
  <si>
    <t>Amount Financed</t>
  </si>
  <si>
    <t>Insurance</t>
  </si>
  <si>
    <t>Taxes</t>
  </si>
  <si>
    <t>Advertising</t>
  </si>
  <si>
    <t>Mngmt Fee</t>
  </si>
  <si>
    <t>Rent Charged</t>
  </si>
  <si>
    <t>Gross Income</t>
  </si>
  <si>
    <t>Vacancy Expense</t>
  </si>
  <si>
    <t>Total Fixed Expenses</t>
  </si>
  <si>
    <t>Total Variable Expenses</t>
  </si>
  <si>
    <t>NOI</t>
  </si>
  <si>
    <t>Annual Income</t>
  </si>
  <si>
    <t>Market Value</t>
  </si>
  <si>
    <t>CAP</t>
  </si>
  <si>
    <t>ROI</t>
  </si>
  <si>
    <t>DSCR</t>
  </si>
  <si>
    <t>GPI</t>
  </si>
  <si>
    <t>GoI</t>
  </si>
  <si>
    <t>Break Even Ratio</t>
  </si>
  <si>
    <t>CFBT</t>
  </si>
  <si>
    <t>CFAT</t>
  </si>
  <si>
    <t>RoE</t>
  </si>
  <si>
    <t>LTV</t>
  </si>
  <si>
    <t>Instant Equity</t>
  </si>
  <si>
    <t>Equity %</t>
  </si>
  <si>
    <t>19-B Rose St.</t>
  </si>
  <si>
    <t xml:space="preserve"> York</t>
  </si>
  <si>
    <t>306 E. Jefferson Street</t>
  </si>
  <si>
    <t>410 E. Liberty Street</t>
  </si>
  <si>
    <t>101 Hall Street</t>
  </si>
  <si>
    <t>89 5th Street</t>
  </si>
  <si>
    <t xml:space="preserve"> Rock Hill</t>
  </si>
  <si>
    <t>180 Bynum Ave.</t>
  </si>
  <si>
    <t>1231 Calhoun Street</t>
  </si>
  <si>
    <t>341 Friendship Dr.</t>
  </si>
  <si>
    <t>44 Sunset Dr.</t>
  </si>
  <si>
    <t>551 Keels Ave.</t>
  </si>
  <si>
    <t>815 S Confederate Ave.</t>
  </si>
  <si>
    <t>220 N Lee St.</t>
  </si>
  <si>
    <t>350 Walnut St.</t>
  </si>
  <si>
    <t>519 E Black St.</t>
  </si>
  <si>
    <t>224 Wall St.</t>
  </si>
  <si>
    <t>425 S Jones Ave.</t>
  </si>
  <si>
    <t>118 Keels Ave.</t>
  </si>
  <si>
    <t>409 S Jones Ave.</t>
  </si>
  <si>
    <t>407 Keels Ave.</t>
  </si>
  <si>
    <t>506 S Jones Ave.</t>
  </si>
  <si>
    <t>1386 Pampas Cir.</t>
  </si>
  <si>
    <t>630 Flint St.</t>
  </si>
  <si>
    <t>622 Izard St.</t>
  </si>
  <si>
    <t>558 E Black St.</t>
  </si>
  <si>
    <t>754 Jefferson Ave.</t>
  </si>
  <si>
    <t>604 Saluda St.</t>
  </si>
  <si>
    <t>544 Walnut St.</t>
  </si>
  <si>
    <t>512 Arch Dr.</t>
  </si>
  <si>
    <t>552 Walnut St.</t>
  </si>
  <si>
    <t>414 Flint St.</t>
  </si>
  <si>
    <t>123 Marshall St.</t>
  </si>
  <si>
    <t>758 Jefferson Ave.</t>
  </si>
  <si>
    <t>309 Scoggins Street</t>
  </si>
  <si>
    <t>Rock Hill</t>
  </si>
  <si>
    <t>SC</t>
  </si>
  <si>
    <t>ZIP Code</t>
  </si>
  <si>
    <t>State</t>
  </si>
  <si>
    <t>City</t>
  </si>
  <si>
    <t>15% Discount</t>
  </si>
  <si>
    <t>Great Investment?</t>
  </si>
  <si>
    <t>Days Listed</t>
  </si>
  <si>
    <t>MLS #</t>
  </si>
  <si>
    <t>1041 Park Meadow Drive</t>
  </si>
  <si>
    <t>1134 Haile Street</t>
  </si>
  <si>
    <t>&gt;=1.3</t>
  </si>
  <si>
    <t>&gt;=8%</t>
  </si>
  <si>
    <t>UNK</t>
  </si>
  <si>
    <t>1067 Park Meadow</t>
  </si>
  <si>
    <t>205 Barron Park</t>
  </si>
  <si>
    <t>York</t>
  </si>
  <si>
    <t>222 Bowser Street</t>
  </si>
  <si>
    <t>14 Willglow Street</t>
  </si>
  <si>
    <t>510 N Confederate Ave</t>
  </si>
  <si>
    <t>1241 Colby Avenue</t>
  </si>
  <si>
    <t>Date Listed</t>
  </si>
  <si>
    <t>350 Lige Street</t>
  </si>
  <si>
    <t>1260 Chandler Drive</t>
  </si>
  <si>
    <t>1304 Mcdow Drive</t>
  </si>
  <si>
    <t>117 Beatty Downs Road</t>
  </si>
  <si>
    <t>Columbia</t>
  </si>
  <si>
    <t>657 Walnut Street</t>
  </si>
  <si>
    <t>1041 Bose Avenue</t>
  </si>
  <si>
    <t>142 Wylie Street</t>
  </si>
  <si>
    <t>317 Baker Street</t>
  </si>
  <si>
    <t>9 Travora Circle</t>
  </si>
  <si>
    <t>1342 Amelia Avenue</t>
  </si>
  <si>
    <t>812 West Main Street</t>
  </si>
  <si>
    <t>331 Finley Square</t>
  </si>
  <si>
    <t>200 Orr Drive</t>
  </si>
  <si>
    <t>542 State Street Ext.</t>
  </si>
  <si>
    <t>1039 Oconee Avenue</t>
  </si>
  <si>
    <t>509 Augusta Street</t>
  </si>
  <si>
    <t>West Columbia</t>
  </si>
  <si>
    <t>1530 Marley Drive</t>
  </si>
  <si>
    <t>1432 Aralia Drive</t>
  </si>
  <si>
    <t>1010 Munsen Spring Drive</t>
  </si>
  <si>
    <t>1312 Cactus Avenue</t>
  </si>
  <si>
    <t>112 Beatty Downs Road</t>
  </si>
  <si>
    <t>777 Green Street</t>
  </si>
  <si>
    <t>345 Pickens Street</t>
  </si>
  <si>
    <t>996 Sylvia Circle</t>
  </si>
  <si>
    <t>125 Browntown Road</t>
  </si>
  <si>
    <t>Belmont</t>
  </si>
  <si>
    <t>2130 Lakeview Lane</t>
  </si>
  <si>
    <t>Charlotte</t>
  </si>
  <si>
    <t>NC</t>
  </si>
  <si>
    <t>2027 Grier Avenue</t>
  </si>
  <si>
    <t>4707 Americana Avenue</t>
  </si>
  <si>
    <t>3433 Tappan Place</t>
  </si>
  <si>
    <t>Spartanburg</t>
  </si>
  <si>
    <t>470-472 Virginia Street</t>
  </si>
  <si>
    <t>752 Guinn Street</t>
  </si>
  <si>
    <t>Clover</t>
  </si>
  <si>
    <t>50 Pinckney Street</t>
  </si>
  <si>
    <t>&lt;=0.8</t>
  </si>
  <si>
    <t>&lt;=0.85</t>
  </si>
  <si>
    <t>&gt;3000</t>
  </si>
  <si>
    <t>&gt;=20%</t>
  </si>
  <si>
    <t>True/ False</t>
  </si>
  <si>
    <t>MM/DD/YYYY</t>
  </si>
  <si>
    <t>486C Willowspring Lane</t>
  </si>
  <si>
    <t>864 Arlington Avenue</t>
  </si>
  <si>
    <t>2740 Pitts Drive</t>
  </si>
  <si>
    <t>2800 Kendrick Avenue</t>
  </si>
  <si>
    <t>4 Yorktown Court</t>
  </si>
  <si>
    <t>113 W Faris Road</t>
  </si>
  <si>
    <t>Greenville</t>
  </si>
  <si>
    <t>308 Agnew Road</t>
  </si>
  <si>
    <t>2812 School House Road</t>
  </si>
  <si>
    <t>3403 Brookwood Court</t>
  </si>
  <si>
    <t>3409 Brookwood Court</t>
  </si>
  <si>
    <t>Brookwood Package</t>
  </si>
  <si>
    <t>SFH</t>
  </si>
  <si>
    <t>Quad</t>
  </si>
  <si>
    <t>Duplex</t>
  </si>
  <si>
    <t>Triplex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</si>
</sst>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232323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8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28.42578125" style="6" bestFit="1" customWidth="1"/>
    <col min="2" max="2" width="13.140625" style="1" customWidth="1"/>
    <col min="3" max="3" width="5.5703125" style="1" bestFit="1" customWidth="1"/>
    <col min="4" max="4" width="5.85546875" style="1" customWidth="1"/>
    <col min="5" max="5" width="10.28515625" style="9" bestFit="1" customWidth="1"/>
    <col min="6" max="6" width="1.140625" style="2" customWidth="1"/>
    <col min="7" max="7" width="12.7109375" style="2" bestFit="1" customWidth="1"/>
    <col min="8" max="8" width="10.85546875" style="2" bestFit="1" customWidth="1"/>
    <col min="9" max="9" width="12.140625" style="2" bestFit="1" customWidth="1"/>
    <col min="10" max="10" width="10.85546875" style="1" bestFit="1" customWidth="1"/>
    <col min="11" max="11" width="10.140625" style="1" bestFit="1" customWidth="1"/>
    <col min="12" max="12" width="5.85546875" style="1" bestFit="1" customWidth="1"/>
    <col min="13" max="13" width="6.42578125" style="2" bestFit="1" customWidth="1"/>
    <col min="14" max="14" width="11.85546875" style="2" bestFit="1" customWidth="1"/>
    <col min="15" max="15" width="12.7109375" style="2" bestFit="1" customWidth="1"/>
    <col min="16" max="16" width="11" style="2" customWidth="1"/>
    <col min="17" max="17" width="8.85546875" style="1" customWidth="1"/>
    <col min="18" max="18" width="10.42578125" style="1" bestFit="1" customWidth="1"/>
    <col min="19" max="19" width="0.7109375" style="2" customWidth="1"/>
    <col min="20" max="20" width="10.140625" style="2" customWidth="1"/>
    <col min="21" max="21" width="8.140625" style="2" customWidth="1"/>
    <col min="22" max="22" width="10.42578125" style="2" customWidth="1"/>
    <col min="23" max="23" width="1.42578125" style="2" customWidth="1"/>
    <col min="24" max="24" width="11.85546875" style="1" customWidth="1"/>
    <col min="25" max="25" width="8" style="2" customWidth="1"/>
    <col min="26" max="26" width="9.5703125" style="2" customWidth="1"/>
    <col min="27" max="27" width="11.5703125" style="2" customWidth="1"/>
    <col min="28" max="28" width="1.140625" style="2" customWidth="1"/>
    <col min="29" max="29" width="9.5703125" style="2" bestFit="1" customWidth="1"/>
    <col min="30" max="30" width="1.140625" style="2" customWidth="1"/>
    <col min="31" max="31" width="10.28515625" style="2" bestFit="1" customWidth="1"/>
    <col min="32" max="32" width="1.28515625" style="2" customWidth="1"/>
    <col min="33" max="34" width="10.42578125" style="2" bestFit="1" customWidth="1"/>
    <col min="35" max="35" width="7.140625" style="2" customWidth="1"/>
    <col min="36" max="37" width="9.5703125" style="2" bestFit="1" customWidth="1"/>
    <col min="38" max="38" width="9.5703125" style="7" customWidth="1"/>
    <col min="39" max="39" width="8.42578125" style="7" customWidth="1"/>
    <col min="40" max="40" width="9.28515625" style="2" customWidth="1"/>
    <col min="41" max="41" width="6.85546875" style="2" bestFit="1" customWidth="1"/>
    <col min="42" max="42" width="8.42578125" style="5" customWidth="1"/>
    <col min="43" max="43" width="8.28515625" style="2" customWidth="1"/>
    <col min="44" max="44" width="8.5703125" style="2" customWidth="1"/>
    <col min="45" max="45" width="11.42578125" style="1" customWidth="1"/>
    <col min="46" max="46" width="15.42578125" style="1" bestFit="1" customWidth="1"/>
    <col min="47" max="16384" width="9.140625" style="1"/>
  </cols>
  <sheetData>
    <row r="1" spans="1:46" s="9" customFormat="1" ht="27.75" customHeight="1">
      <c r="A1" s="6"/>
      <c r="B1" s="10"/>
      <c r="C1" s="10"/>
      <c r="D1" s="10"/>
      <c r="E1" s="10"/>
      <c r="F1" s="10"/>
      <c r="G1" s="43" t="s">
        <v>146</v>
      </c>
      <c r="H1" s="46" t="s">
        <v>148</v>
      </c>
      <c r="I1" s="45" t="s">
        <v>149</v>
      </c>
      <c r="J1" s="44" t="s">
        <v>147</v>
      </c>
      <c r="M1" s="2"/>
      <c r="N1" s="2"/>
      <c r="O1" s="2"/>
      <c r="P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7"/>
      <c r="AM1" s="7"/>
      <c r="AN1" s="2"/>
      <c r="AO1" s="2"/>
      <c r="AP1" s="5"/>
      <c r="AQ1" s="2"/>
      <c r="AR1" s="2"/>
    </row>
    <row r="2" spans="1:46" s="8" customFormat="1" ht="45.75" customHeight="1">
      <c r="A2" s="12" t="s">
        <v>0</v>
      </c>
      <c r="B2" s="13" t="s">
        <v>71</v>
      </c>
      <c r="C2" s="13" t="s">
        <v>70</v>
      </c>
      <c r="D2" s="13" t="s">
        <v>69</v>
      </c>
      <c r="E2" s="13" t="s">
        <v>75</v>
      </c>
      <c r="F2" s="13"/>
      <c r="G2" s="14" t="s">
        <v>1</v>
      </c>
      <c r="H2" s="14" t="s">
        <v>19</v>
      </c>
      <c r="I2" s="14" t="s">
        <v>72</v>
      </c>
      <c r="J2" s="14" t="s">
        <v>6</v>
      </c>
      <c r="K2" s="13" t="s">
        <v>74</v>
      </c>
      <c r="L2" s="13" t="s">
        <v>2</v>
      </c>
      <c r="M2" s="13" t="s">
        <v>3</v>
      </c>
      <c r="N2" s="14" t="s">
        <v>4</v>
      </c>
      <c r="O2" s="14" t="s">
        <v>7</v>
      </c>
      <c r="P2" s="14" t="s">
        <v>5</v>
      </c>
      <c r="Q2" s="15" t="s">
        <v>12</v>
      </c>
      <c r="R2" s="16" t="s">
        <v>13</v>
      </c>
      <c r="S2" s="16"/>
      <c r="T2" s="15" t="s">
        <v>8</v>
      </c>
      <c r="U2" s="15" t="s">
        <v>9</v>
      </c>
      <c r="V2" s="15" t="s">
        <v>15</v>
      </c>
      <c r="W2" s="15"/>
      <c r="X2" s="15" t="s">
        <v>10</v>
      </c>
      <c r="Y2" s="16" t="s">
        <v>11</v>
      </c>
      <c r="Z2" s="15" t="s">
        <v>14</v>
      </c>
      <c r="AA2" s="15" t="s">
        <v>16</v>
      </c>
      <c r="AB2" s="15"/>
      <c r="AC2" s="15" t="s">
        <v>17</v>
      </c>
      <c r="AD2" s="15"/>
      <c r="AE2" s="15" t="s">
        <v>18</v>
      </c>
      <c r="AF2" s="15"/>
      <c r="AG2" s="15" t="s">
        <v>23</v>
      </c>
      <c r="AH2" s="15" t="s">
        <v>24</v>
      </c>
      <c r="AI2" s="15" t="s">
        <v>25</v>
      </c>
      <c r="AJ2" s="15" t="s">
        <v>26</v>
      </c>
      <c r="AK2" s="15" t="s">
        <v>27</v>
      </c>
      <c r="AL2" s="15" t="s">
        <v>28</v>
      </c>
      <c r="AM2" s="17" t="s">
        <v>20</v>
      </c>
      <c r="AN2" s="17" t="s">
        <v>21</v>
      </c>
      <c r="AO2" s="15" t="s">
        <v>22</v>
      </c>
      <c r="AP2" s="15" t="s">
        <v>29</v>
      </c>
      <c r="AQ2" s="18" t="s">
        <v>31</v>
      </c>
      <c r="AR2" s="15" t="s">
        <v>30</v>
      </c>
      <c r="AS2" s="15" t="s">
        <v>73</v>
      </c>
      <c r="AT2" s="13" t="s">
        <v>88</v>
      </c>
    </row>
    <row r="3" spans="1:46">
      <c r="AI3" s="2" t="s">
        <v>129</v>
      </c>
      <c r="AM3" s="7" t="s">
        <v>79</v>
      </c>
      <c r="AN3" s="7" t="s">
        <v>131</v>
      </c>
      <c r="AO3" s="2" t="s">
        <v>78</v>
      </c>
      <c r="AP3" s="2" t="s">
        <v>128</v>
      </c>
      <c r="AQ3" s="5"/>
      <c r="AR3" s="2" t="s">
        <v>130</v>
      </c>
      <c r="AS3" s="9" t="s">
        <v>132</v>
      </c>
      <c r="AT3" s="9" t="s">
        <v>133</v>
      </c>
    </row>
    <row r="4" spans="1:46" s="4" customFormat="1">
      <c r="A4" s="3" t="s">
        <v>32</v>
      </c>
      <c r="B4" s="4" t="s">
        <v>33</v>
      </c>
      <c r="C4" s="4" t="s">
        <v>68</v>
      </c>
      <c r="D4" s="4">
        <v>29745</v>
      </c>
      <c r="E4" s="4">
        <v>1078171</v>
      </c>
      <c r="G4" s="19">
        <v>42900</v>
      </c>
      <c r="H4" s="19">
        <v>53000</v>
      </c>
      <c r="I4" s="19">
        <f>IF(G4="","",G4*0.85)</f>
        <v>36465</v>
      </c>
      <c r="J4" s="19">
        <v>37000</v>
      </c>
      <c r="K4" s="11">
        <f ca="1">TODAY()-AT4</f>
        <v>223</v>
      </c>
      <c r="L4" s="4">
        <v>2</v>
      </c>
      <c r="M4" s="4">
        <v>1</v>
      </c>
      <c r="N4" s="19">
        <f>J4*0.2</f>
        <v>7400</v>
      </c>
      <c r="O4" s="19">
        <f t="shared" ref="O4:O36" si="0">J4-N4</f>
        <v>29600</v>
      </c>
      <c r="P4" s="19">
        <f>PMT(5%/12,360,O4,0)*-1</f>
        <v>158.89920041159289</v>
      </c>
      <c r="Q4" s="19">
        <v>719</v>
      </c>
      <c r="R4" s="19">
        <f t="shared" ref="R4:R36" si="1">Q4*12</f>
        <v>8628</v>
      </c>
      <c r="S4" s="19"/>
      <c r="T4" s="19">
        <f t="shared" ref="T4:T87" si="2">70*12</f>
        <v>840</v>
      </c>
      <c r="U4" s="19">
        <v>35</v>
      </c>
      <c r="V4" s="19">
        <f t="shared" ref="V4:V36" si="3">U4+T4</f>
        <v>875</v>
      </c>
      <c r="W4" s="19"/>
      <c r="X4" s="19">
        <v>200</v>
      </c>
      <c r="Y4" s="19">
        <f t="shared" ref="Y4:Y41" si="4">R4*0.1</f>
        <v>862.80000000000007</v>
      </c>
      <c r="Z4" s="19">
        <f t="shared" ref="Z4:Z41" si="5">R4*0.1</f>
        <v>862.80000000000007</v>
      </c>
      <c r="AA4" s="19">
        <f t="shared" ref="AA4:AA36" si="6">Z4+Y4+X4</f>
        <v>1925.6000000000001</v>
      </c>
      <c r="AB4" s="19"/>
      <c r="AC4" s="19">
        <f t="shared" ref="AC4:AC36" si="7">R4-V4-AA4</f>
        <v>5827.4</v>
      </c>
      <c r="AD4" s="19"/>
      <c r="AE4" s="19">
        <f t="shared" ref="AE4:AE36" si="8">AC4-(P4*12)</f>
        <v>3920.6095950608851</v>
      </c>
      <c r="AF4" s="33"/>
      <c r="AG4" s="34">
        <f t="shared" ref="AG4:AG36" si="9">R4</f>
        <v>8628</v>
      </c>
      <c r="AH4" s="34">
        <f t="shared" ref="AH4:AH36" si="10">AG4-Z4</f>
        <v>7765.2</v>
      </c>
      <c r="AI4" s="35">
        <f t="shared" ref="AI4:AI36" si="11">(Y4+X4+V4+(P4*12))/AH4</f>
        <v>0.49510513636984427</v>
      </c>
      <c r="AJ4" s="34">
        <f t="shared" ref="AJ4:AJ36" si="12">AC4-(P4*12)-(AC4*0.1)</f>
        <v>3337.8695950608853</v>
      </c>
      <c r="AK4" s="34">
        <f t="shared" ref="AK4:AK36" si="13">AJ4-(AJ4*0.06)</f>
        <v>3137.5974193572324</v>
      </c>
      <c r="AL4" s="36">
        <f t="shared" ref="AL4:AL36" si="14">AK4/N4</f>
        <v>0.42399965126449085</v>
      </c>
      <c r="AM4" s="36">
        <f t="shared" ref="AM4:AM36" si="15">AC4/J4</f>
        <v>0.15749729729729728</v>
      </c>
      <c r="AN4" s="36">
        <f t="shared" ref="AN4:AN36" si="16">(R4-(P4*12)-V4-AA4)/N4</f>
        <v>0.5298121074406601</v>
      </c>
      <c r="AO4" s="37">
        <f t="shared" ref="AO4:AO36" si="17">AC4/(P4*12)</f>
        <v>3.0561303355132385</v>
      </c>
      <c r="AP4" s="38">
        <f t="shared" ref="AP4:AP36" si="18">(O4/H4)</f>
        <v>0.55849056603773584</v>
      </c>
      <c r="AQ4" s="38">
        <f t="shared" ref="AQ4:AQ36" si="19">100%-AP4</f>
        <v>0.44150943396226416</v>
      </c>
      <c r="AR4" s="34">
        <f t="shared" ref="AR4:AR36" si="20">AQ4*H4</f>
        <v>23400</v>
      </c>
      <c r="AS4" s="39" t="b">
        <f>AND(AI4&lt;=0.85,AM4&gt;=0.08,AN4&gt;0.2,AO4&gt;1.3,AP4&lt;=0.8,AR4&gt;3000)</f>
        <v>1</v>
      </c>
      <c r="AT4" s="40">
        <v>40831</v>
      </c>
    </row>
    <row r="5" spans="1:46" s="4" customFormat="1" ht="14.25" customHeight="1">
      <c r="A5" s="3" t="s">
        <v>34</v>
      </c>
      <c r="B5" s="4" t="s">
        <v>33</v>
      </c>
      <c r="C5" s="4" t="s">
        <v>68</v>
      </c>
      <c r="D5" s="4">
        <v>29745</v>
      </c>
      <c r="E5" s="4">
        <v>1079276</v>
      </c>
      <c r="G5" s="19">
        <v>59900</v>
      </c>
      <c r="H5" s="19">
        <v>96500</v>
      </c>
      <c r="I5" s="19">
        <f t="shared" ref="I5:I36" si="21">G5*0.85</f>
        <v>50915</v>
      </c>
      <c r="J5" s="19">
        <v>55000</v>
      </c>
      <c r="K5" s="11">
        <f t="shared" ref="K5:K36" ca="1" si="22">TODAY()-AT5</f>
        <v>114</v>
      </c>
      <c r="L5" s="4">
        <v>3</v>
      </c>
      <c r="M5" s="4">
        <v>2</v>
      </c>
      <c r="N5" s="19">
        <f t="shared" ref="N5:N53" si="23">J5*0.2</f>
        <v>11000</v>
      </c>
      <c r="O5" s="19">
        <f t="shared" si="0"/>
        <v>44000</v>
      </c>
      <c r="P5" s="19">
        <f t="shared" ref="P5:P53" si="24">PMT(5%/12,360,O5,0)*-1</f>
        <v>236.20151412534079</v>
      </c>
      <c r="Q5" s="19">
        <v>997</v>
      </c>
      <c r="R5" s="19">
        <f t="shared" si="1"/>
        <v>11964</v>
      </c>
      <c r="S5" s="19"/>
      <c r="T5" s="19">
        <f t="shared" si="2"/>
        <v>840</v>
      </c>
      <c r="U5" s="19">
        <v>523</v>
      </c>
      <c r="V5" s="19">
        <f t="shared" si="3"/>
        <v>1363</v>
      </c>
      <c r="W5" s="19"/>
      <c r="X5" s="19">
        <v>200</v>
      </c>
      <c r="Y5" s="19">
        <f t="shared" si="4"/>
        <v>1196.4000000000001</v>
      </c>
      <c r="Z5" s="19">
        <f t="shared" si="5"/>
        <v>1196.4000000000001</v>
      </c>
      <c r="AA5" s="19">
        <f t="shared" si="6"/>
        <v>2592.8000000000002</v>
      </c>
      <c r="AB5" s="19"/>
      <c r="AC5" s="19">
        <f t="shared" si="7"/>
        <v>8008.2</v>
      </c>
      <c r="AD5" s="19"/>
      <c r="AE5" s="19">
        <f t="shared" si="8"/>
        <v>5173.7818304959101</v>
      </c>
      <c r="AF5" s="33"/>
      <c r="AG5" s="34">
        <f t="shared" si="9"/>
        <v>11964</v>
      </c>
      <c r="AH5" s="34">
        <f t="shared" si="10"/>
        <v>10767.6</v>
      </c>
      <c r="AI5" s="35">
        <f t="shared" si="11"/>
        <v>0.51950464072811853</v>
      </c>
      <c r="AJ5" s="34">
        <f t="shared" si="12"/>
        <v>4372.9618304959104</v>
      </c>
      <c r="AK5" s="34">
        <f t="shared" si="13"/>
        <v>4110.5841206661553</v>
      </c>
      <c r="AL5" s="36">
        <f t="shared" si="14"/>
        <v>0.37368946551510501</v>
      </c>
      <c r="AM5" s="36">
        <f t="shared" si="15"/>
        <v>0.14560363636363635</v>
      </c>
      <c r="AN5" s="36">
        <f t="shared" si="16"/>
        <v>0.47034380277235543</v>
      </c>
      <c r="AO5" s="37">
        <f t="shared" si="17"/>
        <v>2.8253417530840608</v>
      </c>
      <c r="AP5" s="38">
        <f t="shared" si="18"/>
        <v>0.45595854922279794</v>
      </c>
      <c r="AQ5" s="38">
        <f t="shared" si="19"/>
        <v>0.54404145077720201</v>
      </c>
      <c r="AR5" s="34">
        <f t="shared" si="20"/>
        <v>52499.999999999993</v>
      </c>
      <c r="AS5" s="39" t="b">
        <f t="shared" ref="AS5:AS49" si="25">AND(AI5&lt;=0.85,AM5&gt;=0.08,AN5&gt;0.2,AO5&gt;1.3,AP5&lt;=0.8,AR5&gt;3000)</f>
        <v>1</v>
      </c>
      <c r="AT5" s="40">
        <v>40940</v>
      </c>
    </row>
    <row r="6" spans="1:46" s="4" customFormat="1">
      <c r="A6" s="3" t="s">
        <v>35</v>
      </c>
      <c r="B6" s="4" t="s">
        <v>33</v>
      </c>
      <c r="C6" s="4" t="s">
        <v>68</v>
      </c>
      <c r="D6" s="4">
        <v>29745</v>
      </c>
      <c r="E6" s="4">
        <v>1076957</v>
      </c>
      <c r="G6" s="19">
        <v>59900</v>
      </c>
      <c r="H6" s="19">
        <v>46500</v>
      </c>
      <c r="I6" s="19">
        <f t="shared" si="21"/>
        <v>50915</v>
      </c>
      <c r="J6" s="19">
        <v>35000</v>
      </c>
      <c r="K6" s="11">
        <f t="shared" ca="1" si="22"/>
        <v>488</v>
      </c>
      <c r="L6" s="4">
        <v>2</v>
      </c>
      <c r="M6" s="4">
        <v>1</v>
      </c>
      <c r="N6" s="19">
        <f t="shared" si="23"/>
        <v>7000</v>
      </c>
      <c r="O6" s="19">
        <f t="shared" si="0"/>
        <v>28000</v>
      </c>
      <c r="P6" s="19">
        <f t="shared" si="24"/>
        <v>150.31005444339868</v>
      </c>
      <c r="Q6" s="19">
        <v>719</v>
      </c>
      <c r="R6" s="19">
        <f t="shared" si="1"/>
        <v>8628</v>
      </c>
      <c r="S6" s="19"/>
      <c r="T6" s="19">
        <f t="shared" si="2"/>
        <v>840</v>
      </c>
      <c r="U6" s="19">
        <v>1445</v>
      </c>
      <c r="V6" s="19">
        <f t="shared" si="3"/>
        <v>2285</v>
      </c>
      <c r="W6" s="19"/>
      <c r="X6" s="19">
        <v>200</v>
      </c>
      <c r="Y6" s="19">
        <f t="shared" si="4"/>
        <v>862.80000000000007</v>
      </c>
      <c r="Z6" s="19">
        <f t="shared" si="5"/>
        <v>862.80000000000007</v>
      </c>
      <c r="AA6" s="19">
        <f t="shared" si="6"/>
        <v>1925.6000000000001</v>
      </c>
      <c r="AB6" s="19"/>
      <c r="AC6" s="19">
        <f t="shared" si="7"/>
        <v>4417.3999999999996</v>
      </c>
      <c r="AD6" s="19"/>
      <c r="AE6" s="19">
        <f t="shared" si="8"/>
        <v>2613.6793466792155</v>
      </c>
      <c r="AF6" s="33"/>
      <c r="AG6" s="34">
        <f t="shared" si="9"/>
        <v>8628</v>
      </c>
      <c r="AH6" s="34">
        <f t="shared" si="10"/>
        <v>7765.2</v>
      </c>
      <c r="AI6" s="35">
        <f t="shared" si="11"/>
        <v>0.6634112003967424</v>
      </c>
      <c r="AJ6" s="34">
        <f t="shared" si="12"/>
        <v>2171.9393466792153</v>
      </c>
      <c r="AK6" s="34">
        <f t="shared" si="13"/>
        <v>2041.6229858784625</v>
      </c>
      <c r="AL6" s="36">
        <f t="shared" si="14"/>
        <v>0.29166042655406604</v>
      </c>
      <c r="AM6" s="36">
        <f t="shared" si="15"/>
        <v>0.12621142857142856</v>
      </c>
      <c r="AN6" s="36">
        <f t="shared" si="16"/>
        <v>0.37338276381131646</v>
      </c>
      <c r="AO6" s="37">
        <f t="shared" si="17"/>
        <v>2.4490488545813549</v>
      </c>
      <c r="AP6" s="38">
        <f t="shared" si="18"/>
        <v>0.60215053763440862</v>
      </c>
      <c r="AQ6" s="38">
        <f t="shared" si="19"/>
        <v>0.39784946236559138</v>
      </c>
      <c r="AR6" s="34">
        <f t="shared" si="20"/>
        <v>18500</v>
      </c>
      <c r="AS6" s="39" t="b">
        <f t="shared" si="25"/>
        <v>1</v>
      </c>
      <c r="AT6" s="40">
        <v>40566</v>
      </c>
    </row>
    <row r="7" spans="1:46" s="4" customFormat="1">
      <c r="A7" s="3" t="s">
        <v>36</v>
      </c>
      <c r="B7" s="4" t="s">
        <v>33</v>
      </c>
      <c r="C7" s="4" t="s">
        <v>68</v>
      </c>
      <c r="D7" s="4">
        <v>29745</v>
      </c>
      <c r="E7" s="4">
        <v>360631</v>
      </c>
      <c r="G7" s="19">
        <v>33915</v>
      </c>
      <c r="H7" s="19">
        <v>48500</v>
      </c>
      <c r="I7" s="19">
        <f t="shared" si="21"/>
        <v>28827.75</v>
      </c>
      <c r="J7" s="19">
        <v>27000</v>
      </c>
      <c r="K7" s="11">
        <f t="shared" ca="1" si="22"/>
        <v>134</v>
      </c>
      <c r="L7" s="4">
        <v>2</v>
      </c>
      <c r="M7" s="4">
        <v>1</v>
      </c>
      <c r="N7" s="19">
        <f t="shared" si="23"/>
        <v>5400</v>
      </c>
      <c r="O7" s="19">
        <f t="shared" si="0"/>
        <v>21600</v>
      </c>
      <c r="P7" s="19">
        <f t="shared" si="24"/>
        <v>115.95347057062185</v>
      </c>
      <c r="Q7" s="19">
        <v>719</v>
      </c>
      <c r="R7" s="19">
        <f t="shared" si="1"/>
        <v>8628</v>
      </c>
      <c r="S7" s="19"/>
      <c r="T7" s="19">
        <f t="shared" si="2"/>
        <v>840</v>
      </c>
      <c r="U7" s="19">
        <v>496</v>
      </c>
      <c r="V7" s="19">
        <f t="shared" si="3"/>
        <v>1336</v>
      </c>
      <c r="W7" s="19"/>
      <c r="X7" s="19">
        <v>200</v>
      </c>
      <c r="Y7" s="19">
        <f t="shared" si="4"/>
        <v>862.80000000000007</v>
      </c>
      <c r="Z7" s="19">
        <f t="shared" si="5"/>
        <v>862.80000000000007</v>
      </c>
      <c r="AA7" s="19">
        <f t="shared" si="6"/>
        <v>1925.6000000000001</v>
      </c>
      <c r="AB7" s="19"/>
      <c r="AC7" s="19">
        <f t="shared" si="7"/>
        <v>5366.4</v>
      </c>
      <c r="AD7" s="19"/>
      <c r="AE7" s="19">
        <f t="shared" si="8"/>
        <v>3974.9583531525377</v>
      </c>
      <c r="AF7" s="33"/>
      <c r="AG7" s="34">
        <f t="shared" si="9"/>
        <v>8628</v>
      </c>
      <c r="AH7" s="34">
        <f t="shared" si="10"/>
        <v>7765.2</v>
      </c>
      <c r="AI7" s="35">
        <f t="shared" si="11"/>
        <v>0.48810612049238428</v>
      </c>
      <c r="AJ7" s="34">
        <f t="shared" si="12"/>
        <v>3438.3183531525378</v>
      </c>
      <c r="AK7" s="34">
        <f t="shared" si="13"/>
        <v>3232.0192519633856</v>
      </c>
      <c r="AL7" s="36">
        <f t="shared" si="14"/>
        <v>0.59852208369692328</v>
      </c>
      <c r="AM7" s="36">
        <f t="shared" si="15"/>
        <v>0.19875555555555555</v>
      </c>
      <c r="AN7" s="36">
        <f t="shared" si="16"/>
        <v>0.73610339873195141</v>
      </c>
      <c r="AO7" s="37">
        <f t="shared" si="17"/>
        <v>3.8567194047687545</v>
      </c>
      <c r="AP7" s="38">
        <f t="shared" si="18"/>
        <v>0.44536082474226807</v>
      </c>
      <c r="AQ7" s="38">
        <f t="shared" si="19"/>
        <v>0.55463917525773199</v>
      </c>
      <c r="AR7" s="34">
        <f t="shared" si="20"/>
        <v>26900</v>
      </c>
      <c r="AS7" s="39" t="b">
        <f t="shared" si="25"/>
        <v>1</v>
      </c>
      <c r="AT7" s="40">
        <v>40920</v>
      </c>
    </row>
    <row r="8" spans="1:46" s="4" customFormat="1">
      <c r="A8" s="3" t="s">
        <v>37</v>
      </c>
      <c r="B8" s="4" t="s">
        <v>33</v>
      </c>
      <c r="C8" s="4" t="s">
        <v>68</v>
      </c>
      <c r="D8" s="4">
        <v>29745</v>
      </c>
      <c r="E8" s="4">
        <v>2068618</v>
      </c>
      <c r="G8" s="19">
        <v>56900</v>
      </c>
      <c r="H8" s="19">
        <v>78500</v>
      </c>
      <c r="I8" s="19">
        <f t="shared" si="21"/>
        <v>48365</v>
      </c>
      <c r="J8" s="19">
        <v>52000</v>
      </c>
      <c r="K8" s="11">
        <f t="shared" ca="1" si="22"/>
        <v>799</v>
      </c>
      <c r="L8" s="4">
        <v>3</v>
      </c>
      <c r="M8" s="4">
        <v>2</v>
      </c>
      <c r="N8" s="19">
        <f t="shared" si="23"/>
        <v>10400</v>
      </c>
      <c r="O8" s="19">
        <f t="shared" si="0"/>
        <v>41600</v>
      </c>
      <c r="P8" s="19">
        <f t="shared" si="24"/>
        <v>223.31779517304946</v>
      </c>
      <c r="Q8" s="19">
        <v>997</v>
      </c>
      <c r="R8" s="19">
        <f t="shared" si="1"/>
        <v>11964</v>
      </c>
      <c r="S8" s="19"/>
      <c r="T8" s="19">
        <f t="shared" si="2"/>
        <v>840</v>
      </c>
      <c r="U8" s="19">
        <v>803</v>
      </c>
      <c r="V8" s="19">
        <f t="shared" si="3"/>
        <v>1643</v>
      </c>
      <c r="W8" s="19"/>
      <c r="X8" s="19">
        <v>200</v>
      </c>
      <c r="Y8" s="19">
        <f t="shared" si="4"/>
        <v>1196.4000000000001</v>
      </c>
      <c r="Z8" s="19">
        <f t="shared" si="5"/>
        <v>1196.4000000000001</v>
      </c>
      <c r="AA8" s="19">
        <f t="shared" si="6"/>
        <v>2592.8000000000002</v>
      </c>
      <c r="AB8" s="19"/>
      <c r="AC8" s="19">
        <f t="shared" si="7"/>
        <v>7728.2</v>
      </c>
      <c r="AD8" s="19"/>
      <c r="AE8" s="19">
        <f t="shared" si="8"/>
        <v>5048.3864579234069</v>
      </c>
      <c r="AF8" s="33"/>
      <c r="AG8" s="34">
        <f t="shared" si="9"/>
        <v>11964</v>
      </c>
      <c r="AH8" s="34">
        <f t="shared" si="10"/>
        <v>10767.6</v>
      </c>
      <c r="AI8" s="35">
        <f t="shared" si="11"/>
        <v>0.53115026023223311</v>
      </c>
      <c r="AJ8" s="34">
        <f t="shared" si="12"/>
        <v>4275.5664579234071</v>
      </c>
      <c r="AK8" s="34">
        <f t="shared" si="13"/>
        <v>4019.0324704480026</v>
      </c>
      <c r="AL8" s="36">
        <f t="shared" si="14"/>
        <v>0.38644542985076946</v>
      </c>
      <c r="AM8" s="36">
        <f t="shared" si="15"/>
        <v>0.14861923076923075</v>
      </c>
      <c r="AN8" s="36">
        <f t="shared" si="16"/>
        <v>0.4854217748003275</v>
      </c>
      <c r="AO8" s="37">
        <f t="shared" si="17"/>
        <v>2.8838573574829391</v>
      </c>
      <c r="AP8" s="38">
        <f t="shared" si="18"/>
        <v>0.52993630573248407</v>
      </c>
      <c r="AQ8" s="38">
        <f t="shared" si="19"/>
        <v>0.47006369426751593</v>
      </c>
      <c r="AR8" s="34">
        <f t="shared" si="20"/>
        <v>36900</v>
      </c>
      <c r="AS8" s="39" t="b">
        <f t="shared" si="25"/>
        <v>1</v>
      </c>
      <c r="AT8" s="40">
        <v>40255</v>
      </c>
    </row>
    <row r="9" spans="1:46" s="4" customFormat="1">
      <c r="A9" s="3" t="s">
        <v>39</v>
      </c>
      <c r="B9" s="4" t="s">
        <v>38</v>
      </c>
      <c r="C9" s="4" t="s">
        <v>68</v>
      </c>
      <c r="D9" s="4">
        <v>29732</v>
      </c>
      <c r="E9" s="4">
        <v>1080237</v>
      </c>
      <c r="G9" s="19">
        <v>14900</v>
      </c>
      <c r="H9" s="19">
        <v>29500</v>
      </c>
      <c r="I9" s="19">
        <f t="shared" si="21"/>
        <v>12665</v>
      </c>
      <c r="J9" s="19">
        <v>12000</v>
      </c>
      <c r="K9" s="11">
        <f t="shared" ca="1" si="22"/>
        <v>69</v>
      </c>
      <c r="L9" s="4">
        <v>2</v>
      </c>
      <c r="M9" s="4">
        <v>1</v>
      </c>
      <c r="N9" s="19">
        <f t="shared" si="23"/>
        <v>2400</v>
      </c>
      <c r="O9" s="19">
        <f t="shared" si="0"/>
        <v>9600</v>
      </c>
      <c r="P9" s="19">
        <f t="shared" si="24"/>
        <v>51.534875809165257</v>
      </c>
      <c r="Q9" s="19">
        <v>719</v>
      </c>
      <c r="R9" s="19">
        <f t="shared" si="1"/>
        <v>8628</v>
      </c>
      <c r="S9" s="19"/>
      <c r="T9" s="19">
        <f t="shared" si="2"/>
        <v>840</v>
      </c>
      <c r="U9" s="19">
        <v>672</v>
      </c>
      <c r="V9" s="19">
        <f t="shared" si="3"/>
        <v>1512</v>
      </c>
      <c r="W9" s="19"/>
      <c r="X9" s="19">
        <v>200</v>
      </c>
      <c r="Y9" s="19">
        <f t="shared" si="4"/>
        <v>862.80000000000007</v>
      </c>
      <c r="Z9" s="19">
        <f t="shared" si="5"/>
        <v>862.80000000000007</v>
      </c>
      <c r="AA9" s="19">
        <f t="shared" si="6"/>
        <v>1925.6000000000001</v>
      </c>
      <c r="AB9" s="19"/>
      <c r="AC9" s="19">
        <f t="shared" si="7"/>
        <v>5190.3999999999996</v>
      </c>
      <c r="AD9" s="19"/>
      <c r="AE9" s="19">
        <f t="shared" si="8"/>
        <v>4571.9814902900162</v>
      </c>
      <c r="AF9" s="33"/>
      <c r="AG9" s="34">
        <f t="shared" si="9"/>
        <v>8628</v>
      </c>
      <c r="AH9" s="34">
        <f t="shared" si="10"/>
        <v>7765.2</v>
      </c>
      <c r="AI9" s="35">
        <f t="shared" si="11"/>
        <v>0.41122166972003082</v>
      </c>
      <c r="AJ9" s="34">
        <f t="shared" si="12"/>
        <v>4052.9414902900162</v>
      </c>
      <c r="AK9" s="34">
        <f t="shared" si="13"/>
        <v>3809.765000872615</v>
      </c>
      <c r="AL9" s="36">
        <f t="shared" si="14"/>
        <v>1.5874020836969229</v>
      </c>
      <c r="AM9" s="36">
        <f t="shared" si="15"/>
        <v>0.43253333333333333</v>
      </c>
      <c r="AN9" s="36">
        <f t="shared" si="16"/>
        <v>1.9049922876208401</v>
      </c>
      <c r="AO9" s="37">
        <f t="shared" si="17"/>
        <v>8.3930217457981939</v>
      </c>
      <c r="AP9" s="38">
        <f t="shared" si="18"/>
        <v>0.3254237288135593</v>
      </c>
      <c r="AQ9" s="38">
        <f t="shared" si="19"/>
        <v>0.6745762711864407</v>
      </c>
      <c r="AR9" s="34">
        <f t="shared" si="20"/>
        <v>19900</v>
      </c>
      <c r="AS9" s="39" t="b">
        <f t="shared" si="25"/>
        <v>1</v>
      </c>
      <c r="AT9" s="40">
        <v>40985</v>
      </c>
    </row>
    <row r="10" spans="1:46" s="4" customFormat="1">
      <c r="A10" s="3" t="s">
        <v>40</v>
      </c>
      <c r="B10" s="4" t="s">
        <v>38</v>
      </c>
      <c r="C10" s="4" t="s">
        <v>68</v>
      </c>
      <c r="D10" s="4">
        <v>29732</v>
      </c>
      <c r="E10" s="4">
        <v>2050270</v>
      </c>
      <c r="G10" s="19">
        <v>69900</v>
      </c>
      <c r="H10" s="19">
        <v>91000</v>
      </c>
      <c r="I10" s="19">
        <f t="shared" si="21"/>
        <v>59415</v>
      </c>
      <c r="J10" s="19">
        <v>58000</v>
      </c>
      <c r="K10" s="11">
        <f t="shared" ca="1" si="22"/>
        <v>273</v>
      </c>
      <c r="L10" s="4">
        <v>3</v>
      </c>
      <c r="M10" s="4">
        <v>2</v>
      </c>
      <c r="N10" s="19">
        <f t="shared" si="23"/>
        <v>11600</v>
      </c>
      <c r="O10" s="19">
        <f t="shared" si="0"/>
        <v>46400</v>
      </c>
      <c r="P10" s="19">
        <f t="shared" si="24"/>
        <v>249.08523307763213</v>
      </c>
      <c r="Q10" s="19">
        <v>997</v>
      </c>
      <c r="R10" s="19">
        <f t="shared" si="1"/>
        <v>11964</v>
      </c>
      <c r="S10" s="19"/>
      <c r="T10" s="19">
        <f t="shared" si="2"/>
        <v>840</v>
      </c>
      <c r="U10" s="19">
        <v>757</v>
      </c>
      <c r="V10" s="19">
        <f t="shared" si="3"/>
        <v>1597</v>
      </c>
      <c r="W10" s="19"/>
      <c r="X10" s="19">
        <v>200</v>
      </c>
      <c r="Y10" s="19">
        <f t="shared" si="4"/>
        <v>1196.4000000000001</v>
      </c>
      <c r="Z10" s="19">
        <f t="shared" si="5"/>
        <v>1196.4000000000001</v>
      </c>
      <c r="AA10" s="19">
        <f t="shared" si="6"/>
        <v>2592.8000000000002</v>
      </c>
      <c r="AB10" s="19"/>
      <c r="AC10" s="19">
        <f t="shared" si="7"/>
        <v>7774.2</v>
      </c>
      <c r="AD10" s="19"/>
      <c r="AE10" s="19">
        <f t="shared" si="8"/>
        <v>4785.1772030684142</v>
      </c>
      <c r="AF10" s="33"/>
      <c r="AG10" s="34">
        <f t="shared" si="9"/>
        <v>11964</v>
      </c>
      <c r="AH10" s="34">
        <f t="shared" si="10"/>
        <v>10767.6</v>
      </c>
      <c r="AI10" s="35">
        <f t="shared" si="11"/>
        <v>0.55559482121657422</v>
      </c>
      <c r="AJ10" s="34">
        <f t="shared" si="12"/>
        <v>4007.7572030684141</v>
      </c>
      <c r="AK10" s="34">
        <f t="shared" si="13"/>
        <v>3767.2917708843092</v>
      </c>
      <c r="AL10" s="36">
        <f t="shared" si="14"/>
        <v>0.32476653197278527</v>
      </c>
      <c r="AM10" s="36">
        <f t="shared" si="15"/>
        <v>0.13403793103448275</v>
      </c>
      <c r="AN10" s="36">
        <f t="shared" si="16"/>
        <v>0.41251527612658745</v>
      </c>
      <c r="AO10" s="37">
        <f t="shared" si="17"/>
        <v>2.600916931105608</v>
      </c>
      <c r="AP10" s="38">
        <f t="shared" si="18"/>
        <v>0.50989010989010985</v>
      </c>
      <c r="AQ10" s="38">
        <f t="shared" si="19"/>
        <v>0.49010989010989015</v>
      </c>
      <c r="AR10" s="34">
        <f t="shared" si="20"/>
        <v>44600</v>
      </c>
      <c r="AS10" s="39" t="b">
        <f t="shared" si="25"/>
        <v>1</v>
      </c>
      <c r="AT10" s="40">
        <v>40781</v>
      </c>
    </row>
    <row r="11" spans="1:46" s="4" customFormat="1">
      <c r="A11" s="3" t="s">
        <v>41</v>
      </c>
      <c r="B11" s="4" t="s">
        <v>38</v>
      </c>
      <c r="C11" s="4" t="s">
        <v>68</v>
      </c>
      <c r="D11" s="4">
        <v>29730</v>
      </c>
      <c r="E11" s="4" t="s">
        <v>80</v>
      </c>
      <c r="G11" s="19">
        <v>17900</v>
      </c>
      <c r="H11" s="19">
        <v>48300</v>
      </c>
      <c r="I11" s="19">
        <f t="shared" si="21"/>
        <v>15215</v>
      </c>
      <c r="J11" s="19">
        <v>14000</v>
      </c>
      <c r="K11" s="11">
        <f t="shared" ca="1" si="22"/>
        <v>229</v>
      </c>
      <c r="L11" s="4">
        <v>3</v>
      </c>
      <c r="M11" s="4">
        <v>1</v>
      </c>
      <c r="N11" s="19">
        <f t="shared" si="23"/>
        <v>2800</v>
      </c>
      <c r="O11" s="19">
        <f t="shared" si="0"/>
        <v>11200</v>
      </c>
      <c r="P11" s="19">
        <f t="shared" si="24"/>
        <v>60.124021777359474</v>
      </c>
      <c r="Q11" s="19">
        <v>997</v>
      </c>
      <c r="R11" s="19">
        <f t="shared" si="1"/>
        <v>11964</v>
      </c>
      <c r="S11" s="19"/>
      <c r="T11" s="19">
        <f t="shared" si="2"/>
        <v>840</v>
      </c>
      <c r="U11" s="19">
        <v>463</v>
      </c>
      <c r="V11" s="19">
        <f t="shared" si="3"/>
        <v>1303</v>
      </c>
      <c r="W11" s="19"/>
      <c r="X11" s="19">
        <v>200</v>
      </c>
      <c r="Y11" s="19">
        <f t="shared" si="4"/>
        <v>1196.4000000000001</v>
      </c>
      <c r="Z11" s="19">
        <f t="shared" si="5"/>
        <v>1196.4000000000001</v>
      </c>
      <c r="AA11" s="19">
        <f t="shared" si="6"/>
        <v>2592.8000000000002</v>
      </c>
      <c r="AB11" s="19"/>
      <c r="AC11" s="19">
        <f t="shared" si="7"/>
        <v>8068.2</v>
      </c>
      <c r="AD11" s="19"/>
      <c r="AE11" s="19">
        <f t="shared" si="8"/>
        <v>7346.7117386716864</v>
      </c>
      <c r="AF11" s="33"/>
      <c r="AG11" s="34">
        <f t="shared" si="9"/>
        <v>11964</v>
      </c>
      <c r="AH11" s="34">
        <f t="shared" si="10"/>
        <v>10767.6</v>
      </c>
      <c r="AI11" s="35">
        <f t="shared" si="11"/>
        <v>0.31770201914338514</v>
      </c>
      <c r="AJ11" s="34">
        <f t="shared" si="12"/>
        <v>6539.8917386716867</v>
      </c>
      <c r="AK11" s="34">
        <f t="shared" si="13"/>
        <v>6147.4982343513857</v>
      </c>
      <c r="AL11" s="36">
        <f t="shared" si="14"/>
        <v>2.1955350836969236</v>
      </c>
      <c r="AM11" s="36">
        <f t="shared" si="15"/>
        <v>0.57630000000000003</v>
      </c>
      <c r="AN11" s="36">
        <f t="shared" si="16"/>
        <v>2.6238256209541735</v>
      </c>
      <c r="AO11" s="37">
        <f t="shared" si="17"/>
        <v>11.182718323297239</v>
      </c>
      <c r="AP11" s="38">
        <f t="shared" si="18"/>
        <v>0.2318840579710145</v>
      </c>
      <c r="AQ11" s="38">
        <f t="shared" si="19"/>
        <v>0.76811594202898548</v>
      </c>
      <c r="AR11" s="34">
        <f t="shared" si="20"/>
        <v>37100</v>
      </c>
      <c r="AS11" s="39" t="b">
        <f t="shared" si="25"/>
        <v>1</v>
      </c>
      <c r="AT11" s="40">
        <v>40825</v>
      </c>
    </row>
    <row r="12" spans="1:46" s="4" customFormat="1">
      <c r="A12" s="3" t="s">
        <v>42</v>
      </c>
      <c r="B12" s="4" t="s">
        <v>38</v>
      </c>
      <c r="C12" s="4" t="s">
        <v>68</v>
      </c>
      <c r="D12" s="4">
        <v>29730</v>
      </c>
      <c r="E12" s="4">
        <v>1079443</v>
      </c>
      <c r="G12" s="19">
        <v>45000</v>
      </c>
      <c r="H12" s="19">
        <v>36200</v>
      </c>
      <c r="I12" s="19">
        <f t="shared" si="21"/>
        <v>38250</v>
      </c>
      <c r="J12" s="19">
        <v>40000</v>
      </c>
      <c r="K12" s="11">
        <f t="shared" ca="1" si="22"/>
        <v>121</v>
      </c>
      <c r="L12" s="4">
        <v>3</v>
      </c>
      <c r="M12" s="4">
        <v>1.5</v>
      </c>
      <c r="N12" s="19">
        <f t="shared" si="23"/>
        <v>8000</v>
      </c>
      <c r="O12" s="19">
        <f t="shared" si="0"/>
        <v>32000</v>
      </c>
      <c r="P12" s="19">
        <f t="shared" si="24"/>
        <v>171.78291936388422</v>
      </c>
      <c r="Q12" s="19">
        <v>997</v>
      </c>
      <c r="R12" s="19">
        <f t="shared" si="1"/>
        <v>11964</v>
      </c>
      <c r="S12" s="19"/>
      <c r="T12" s="19">
        <f t="shared" si="2"/>
        <v>840</v>
      </c>
      <c r="U12" s="19">
        <v>948</v>
      </c>
      <c r="V12" s="19">
        <f t="shared" si="3"/>
        <v>1788</v>
      </c>
      <c r="W12" s="19"/>
      <c r="X12" s="19">
        <v>200</v>
      </c>
      <c r="Y12" s="19">
        <f t="shared" si="4"/>
        <v>1196.4000000000001</v>
      </c>
      <c r="Z12" s="19">
        <f t="shared" si="5"/>
        <v>1196.4000000000001</v>
      </c>
      <c r="AA12" s="19">
        <f t="shared" si="6"/>
        <v>2592.8000000000002</v>
      </c>
      <c r="AB12" s="19"/>
      <c r="AC12" s="19">
        <f t="shared" si="7"/>
        <v>7583.2</v>
      </c>
      <c r="AD12" s="19"/>
      <c r="AE12" s="19">
        <f t="shared" si="8"/>
        <v>5521.8049676333894</v>
      </c>
      <c r="AF12" s="33"/>
      <c r="AG12" s="34">
        <f t="shared" si="9"/>
        <v>11964</v>
      </c>
      <c r="AH12" s="34">
        <f t="shared" si="10"/>
        <v>10767.6</v>
      </c>
      <c r="AI12" s="35">
        <f t="shared" si="11"/>
        <v>0.4871833121927458</v>
      </c>
      <c r="AJ12" s="34">
        <f t="shared" si="12"/>
        <v>4763.4849676333897</v>
      </c>
      <c r="AK12" s="34">
        <f t="shared" si="13"/>
        <v>4477.6758695753861</v>
      </c>
      <c r="AL12" s="36">
        <f t="shared" si="14"/>
        <v>0.5597094836969233</v>
      </c>
      <c r="AM12" s="36">
        <f t="shared" si="15"/>
        <v>0.18958</v>
      </c>
      <c r="AN12" s="36">
        <f t="shared" si="16"/>
        <v>0.69022562095417372</v>
      </c>
      <c r="AO12" s="37">
        <f t="shared" si="17"/>
        <v>3.6786738499578182</v>
      </c>
      <c r="AP12" s="38">
        <f t="shared" si="18"/>
        <v>0.88397790055248615</v>
      </c>
      <c r="AQ12" s="38">
        <f t="shared" si="19"/>
        <v>0.11602209944751385</v>
      </c>
      <c r="AR12" s="34">
        <f t="shared" si="20"/>
        <v>4200.0000000000009</v>
      </c>
      <c r="AS12" s="39" t="b">
        <f t="shared" si="25"/>
        <v>0</v>
      </c>
      <c r="AT12" s="40">
        <v>40933</v>
      </c>
    </row>
    <row r="13" spans="1:46" s="4" customFormat="1">
      <c r="A13" s="3" t="s">
        <v>43</v>
      </c>
      <c r="B13" s="4" t="s">
        <v>38</v>
      </c>
      <c r="C13" s="4" t="s">
        <v>68</v>
      </c>
      <c r="D13" s="4">
        <v>29730</v>
      </c>
      <c r="E13" s="4">
        <v>1077166</v>
      </c>
      <c r="G13" s="19">
        <v>56500</v>
      </c>
      <c r="H13" s="19">
        <v>43000</v>
      </c>
      <c r="I13" s="19">
        <f t="shared" si="21"/>
        <v>48025</v>
      </c>
      <c r="J13" s="19">
        <v>50000</v>
      </c>
      <c r="K13" s="11">
        <f t="shared" ca="1" si="22"/>
        <v>287</v>
      </c>
      <c r="L13" s="4">
        <v>2</v>
      </c>
      <c r="M13" s="4">
        <v>1</v>
      </c>
      <c r="N13" s="19">
        <f t="shared" si="23"/>
        <v>10000</v>
      </c>
      <c r="O13" s="19">
        <f t="shared" si="0"/>
        <v>40000</v>
      </c>
      <c r="P13" s="19">
        <f t="shared" si="24"/>
        <v>214.72864920485526</v>
      </c>
      <c r="Q13" s="19">
        <v>719</v>
      </c>
      <c r="R13" s="19">
        <f t="shared" si="1"/>
        <v>8628</v>
      </c>
      <c r="S13" s="19"/>
      <c r="T13" s="19">
        <f t="shared" si="2"/>
        <v>840</v>
      </c>
      <c r="U13" s="19">
        <v>358</v>
      </c>
      <c r="V13" s="19">
        <f t="shared" si="3"/>
        <v>1198</v>
      </c>
      <c r="W13" s="19"/>
      <c r="X13" s="19">
        <v>200</v>
      </c>
      <c r="Y13" s="19">
        <f t="shared" si="4"/>
        <v>862.80000000000007</v>
      </c>
      <c r="Z13" s="19">
        <f t="shared" si="5"/>
        <v>862.80000000000007</v>
      </c>
      <c r="AA13" s="19">
        <f t="shared" si="6"/>
        <v>1925.6000000000001</v>
      </c>
      <c r="AB13" s="19"/>
      <c r="AC13" s="19">
        <f t="shared" si="7"/>
        <v>5504.4</v>
      </c>
      <c r="AD13" s="19"/>
      <c r="AE13" s="19">
        <f t="shared" si="8"/>
        <v>2927.6562095417366</v>
      </c>
      <c r="AF13" s="33"/>
      <c r="AG13" s="34">
        <f t="shared" si="9"/>
        <v>8628</v>
      </c>
      <c r="AH13" s="34">
        <f t="shared" si="10"/>
        <v>7765.2</v>
      </c>
      <c r="AI13" s="35">
        <f t="shared" si="11"/>
        <v>0.62297735930282072</v>
      </c>
      <c r="AJ13" s="34">
        <f t="shared" si="12"/>
        <v>2377.2162095417366</v>
      </c>
      <c r="AK13" s="34">
        <f t="shared" si="13"/>
        <v>2234.5832369692325</v>
      </c>
      <c r="AL13" s="36">
        <f t="shared" si="14"/>
        <v>0.22345832369692326</v>
      </c>
      <c r="AM13" s="36">
        <f t="shared" si="15"/>
        <v>0.11008799999999999</v>
      </c>
      <c r="AN13" s="36">
        <f t="shared" si="16"/>
        <v>0.29276562095417369</v>
      </c>
      <c r="AO13" s="37">
        <f t="shared" si="17"/>
        <v>2.1361844434758743</v>
      </c>
      <c r="AP13" s="38">
        <f t="shared" si="18"/>
        <v>0.93023255813953487</v>
      </c>
      <c r="AQ13" s="38">
        <f t="shared" si="19"/>
        <v>6.9767441860465129E-2</v>
      </c>
      <c r="AR13" s="34">
        <f t="shared" si="20"/>
        <v>3000.0000000000005</v>
      </c>
      <c r="AS13" s="39" t="b">
        <f t="shared" si="25"/>
        <v>0</v>
      </c>
      <c r="AT13" s="40">
        <v>40767</v>
      </c>
    </row>
    <row r="14" spans="1:46" s="4" customFormat="1">
      <c r="A14" s="3" t="s">
        <v>44</v>
      </c>
      <c r="B14" s="4" t="s">
        <v>38</v>
      </c>
      <c r="C14" s="4" t="s">
        <v>68</v>
      </c>
      <c r="D14" s="4">
        <v>29730</v>
      </c>
      <c r="E14" s="4">
        <v>1075189</v>
      </c>
      <c r="G14" s="19">
        <v>24900</v>
      </c>
      <c r="H14" s="19">
        <v>63500</v>
      </c>
      <c r="I14" s="19">
        <f t="shared" si="21"/>
        <v>21165</v>
      </c>
      <c r="J14" s="19">
        <v>21000</v>
      </c>
      <c r="K14" s="11">
        <f t="shared" ca="1" si="22"/>
        <v>315</v>
      </c>
      <c r="L14" s="4">
        <v>3</v>
      </c>
      <c r="M14" s="4">
        <v>1</v>
      </c>
      <c r="N14" s="19">
        <f t="shared" si="23"/>
        <v>4200</v>
      </c>
      <c r="O14" s="19">
        <f t="shared" si="0"/>
        <v>16800</v>
      </c>
      <c r="P14" s="19">
        <f t="shared" si="24"/>
        <v>90.18603266603921</v>
      </c>
      <c r="Q14" s="19">
        <v>1945</v>
      </c>
      <c r="R14" s="19">
        <f t="shared" si="1"/>
        <v>23340</v>
      </c>
      <c r="S14" s="19"/>
      <c r="T14" s="19">
        <f t="shared" si="2"/>
        <v>840</v>
      </c>
      <c r="U14" s="19">
        <v>116</v>
      </c>
      <c r="V14" s="19">
        <f t="shared" si="3"/>
        <v>956</v>
      </c>
      <c r="W14" s="19"/>
      <c r="X14" s="19">
        <v>200</v>
      </c>
      <c r="Y14" s="19">
        <f t="shared" si="4"/>
        <v>2334</v>
      </c>
      <c r="Z14" s="19">
        <f t="shared" si="5"/>
        <v>2334</v>
      </c>
      <c r="AA14" s="19">
        <f t="shared" si="6"/>
        <v>4868</v>
      </c>
      <c r="AB14" s="19"/>
      <c r="AC14" s="19">
        <f t="shared" si="7"/>
        <v>17516</v>
      </c>
      <c r="AD14" s="19"/>
      <c r="AE14" s="19">
        <f t="shared" si="8"/>
        <v>16433.767608007529</v>
      </c>
      <c r="AF14" s="33"/>
      <c r="AG14" s="34">
        <f t="shared" si="9"/>
        <v>23340</v>
      </c>
      <c r="AH14" s="34">
        <f t="shared" si="10"/>
        <v>21006</v>
      </c>
      <c r="AI14" s="35">
        <f t="shared" si="11"/>
        <v>0.21766316252463444</v>
      </c>
      <c r="AJ14" s="34">
        <f t="shared" si="12"/>
        <v>14682.167608007529</v>
      </c>
      <c r="AK14" s="34">
        <f t="shared" si="13"/>
        <v>13801.237551527076</v>
      </c>
      <c r="AL14" s="36">
        <f t="shared" si="14"/>
        <v>3.2860089408397801</v>
      </c>
      <c r="AM14" s="36">
        <f t="shared" si="15"/>
        <v>0.83409523809523811</v>
      </c>
      <c r="AN14" s="36">
        <f t="shared" si="16"/>
        <v>3.9128018114303642</v>
      </c>
      <c r="AO14" s="37">
        <f t="shared" si="17"/>
        <v>16.185063512792976</v>
      </c>
      <c r="AP14" s="38">
        <f t="shared" si="18"/>
        <v>0.26456692913385826</v>
      </c>
      <c r="AQ14" s="38">
        <f t="shared" si="19"/>
        <v>0.73543307086614174</v>
      </c>
      <c r="AR14" s="34">
        <f t="shared" si="20"/>
        <v>46700</v>
      </c>
      <c r="AS14" s="39" t="b">
        <f t="shared" si="25"/>
        <v>1</v>
      </c>
      <c r="AT14" s="40">
        <v>40739</v>
      </c>
    </row>
    <row r="15" spans="1:46" s="4" customFormat="1">
      <c r="A15" s="3" t="s">
        <v>45</v>
      </c>
      <c r="B15" s="4" t="s">
        <v>38</v>
      </c>
      <c r="C15" s="4" t="s">
        <v>68</v>
      </c>
      <c r="D15" s="4">
        <v>29730</v>
      </c>
      <c r="E15" s="4">
        <v>2056046</v>
      </c>
      <c r="G15" s="19">
        <v>39900</v>
      </c>
      <c r="H15" s="19">
        <v>47700</v>
      </c>
      <c r="I15" s="19">
        <f t="shared" si="21"/>
        <v>33915</v>
      </c>
      <c r="J15" s="19">
        <v>35000</v>
      </c>
      <c r="K15" s="11">
        <f t="shared" ca="1" si="22"/>
        <v>240</v>
      </c>
      <c r="L15" s="4">
        <v>2</v>
      </c>
      <c r="M15" s="4">
        <v>1</v>
      </c>
      <c r="N15" s="19">
        <f t="shared" si="23"/>
        <v>7000</v>
      </c>
      <c r="O15" s="19">
        <f t="shared" si="0"/>
        <v>28000</v>
      </c>
      <c r="P15" s="19">
        <f t="shared" si="24"/>
        <v>150.31005444339868</v>
      </c>
      <c r="Q15" s="19">
        <v>719</v>
      </c>
      <c r="R15" s="19">
        <f t="shared" si="1"/>
        <v>8628</v>
      </c>
      <c r="S15" s="19"/>
      <c r="T15" s="19">
        <f t="shared" si="2"/>
        <v>840</v>
      </c>
      <c r="U15" s="19">
        <v>860</v>
      </c>
      <c r="V15" s="19">
        <f t="shared" si="3"/>
        <v>1700</v>
      </c>
      <c r="W15" s="19"/>
      <c r="X15" s="19">
        <v>200</v>
      </c>
      <c r="Y15" s="19">
        <f t="shared" si="4"/>
        <v>862.80000000000007</v>
      </c>
      <c r="Z15" s="19">
        <f t="shared" si="5"/>
        <v>862.80000000000007</v>
      </c>
      <c r="AA15" s="19">
        <f t="shared" si="6"/>
        <v>1925.6000000000001</v>
      </c>
      <c r="AB15" s="19"/>
      <c r="AC15" s="19">
        <f t="shared" si="7"/>
        <v>5002.3999999999996</v>
      </c>
      <c r="AD15" s="19"/>
      <c r="AE15" s="19">
        <f t="shared" si="8"/>
        <v>3198.6793466792155</v>
      </c>
      <c r="AF15" s="33"/>
      <c r="AG15" s="34">
        <f t="shared" si="9"/>
        <v>8628</v>
      </c>
      <c r="AH15" s="34">
        <f t="shared" si="10"/>
        <v>7765.2</v>
      </c>
      <c r="AI15" s="35">
        <f t="shared" si="11"/>
        <v>0.58807508542224074</v>
      </c>
      <c r="AJ15" s="34">
        <f t="shared" si="12"/>
        <v>2698.4393466792153</v>
      </c>
      <c r="AK15" s="34">
        <f t="shared" si="13"/>
        <v>2536.5329858784626</v>
      </c>
      <c r="AL15" s="36">
        <f t="shared" si="14"/>
        <v>0.36236185512549463</v>
      </c>
      <c r="AM15" s="36">
        <f t="shared" si="15"/>
        <v>0.14292571428571427</v>
      </c>
      <c r="AN15" s="36">
        <f t="shared" si="16"/>
        <v>0.45695419238274504</v>
      </c>
      <c r="AO15" s="37">
        <f t="shared" si="17"/>
        <v>2.7733784556883618</v>
      </c>
      <c r="AP15" s="38">
        <f t="shared" si="18"/>
        <v>0.58700209643605872</v>
      </c>
      <c r="AQ15" s="38">
        <f t="shared" si="19"/>
        <v>0.41299790356394128</v>
      </c>
      <c r="AR15" s="34">
        <f t="shared" si="20"/>
        <v>19700</v>
      </c>
      <c r="AS15" s="39" t="b">
        <f t="shared" si="25"/>
        <v>1</v>
      </c>
      <c r="AT15" s="40">
        <v>40814</v>
      </c>
    </row>
    <row r="16" spans="1:46" s="4" customFormat="1">
      <c r="A16" s="3" t="s">
        <v>46</v>
      </c>
      <c r="B16" s="4" t="s">
        <v>38</v>
      </c>
      <c r="C16" s="4" t="s">
        <v>68</v>
      </c>
      <c r="D16" s="4">
        <v>29730</v>
      </c>
      <c r="E16" s="4">
        <v>2053619</v>
      </c>
      <c r="G16" s="19">
        <v>45000</v>
      </c>
      <c r="H16" s="19">
        <v>46500</v>
      </c>
      <c r="I16" s="19">
        <f t="shared" si="21"/>
        <v>38250</v>
      </c>
      <c r="J16" s="19">
        <v>41000</v>
      </c>
      <c r="K16" s="11">
        <f t="shared" ca="1" si="22"/>
        <v>179</v>
      </c>
      <c r="L16" s="4">
        <v>2</v>
      </c>
      <c r="M16" s="4">
        <v>1</v>
      </c>
      <c r="N16" s="19">
        <f t="shared" si="23"/>
        <v>8200</v>
      </c>
      <c r="O16" s="19">
        <f t="shared" si="0"/>
        <v>32800</v>
      </c>
      <c r="P16" s="19">
        <f t="shared" si="24"/>
        <v>176.07749234798132</v>
      </c>
      <c r="Q16" s="19">
        <v>719</v>
      </c>
      <c r="R16" s="19">
        <f t="shared" si="1"/>
        <v>8628</v>
      </c>
      <c r="S16" s="19"/>
      <c r="T16" s="19">
        <f t="shared" si="2"/>
        <v>840</v>
      </c>
      <c r="U16" s="19">
        <v>1059</v>
      </c>
      <c r="V16" s="19">
        <f t="shared" si="3"/>
        <v>1899</v>
      </c>
      <c r="W16" s="19"/>
      <c r="X16" s="19">
        <v>200</v>
      </c>
      <c r="Y16" s="19">
        <f t="shared" si="4"/>
        <v>862.80000000000007</v>
      </c>
      <c r="Z16" s="19">
        <f t="shared" si="5"/>
        <v>862.80000000000007</v>
      </c>
      <c r="AA16" s="19">
        <f t="shared" si="6"/>
        <v>1925.6000000000001</v>
      </c>
      <c r="AB16" s="19"/>
      <c r="AC16" s="19">
        <f t="shared" si="7"/>
        <v>4803.3999999999996</v>
      </c>
      <c r="AD16" s="19"/>
      <c r="AE16" s="19">
        <f t="shared" si="8"/>
        <v>2690.4700918242238</v>
      </c>
      <c r="AF16" s="33"/>
      <c r="AG16" s="34">
        <f t="shared" si="9"/>
        <v>8628</v>
      </c>
      <c r="AH16" s="34">
        <f t="shared" si="10"/>
        <v>7765.2</v>
      </c>
      <c r="AI16" s="35">
        <f t="shared" si="11"/>
        <v>0.65352211252456804</v>
      </c>
      <c r="AJ16" s="34">
        <f t="shared" si="12"/>
        <v>2210.1300918242237</v>
      </c>
      <c r="AK16" s="34">
        <f t="shared" si="13"/>
        <v>2077.5222863147701</v>
      </c>
      <c r="AL16" s="36">
        <f t="shared" si="14"/>
        <v>0.25335637637985003</v>
      </c>
      <c r="AM16" s="36">
        <f t="shared" si="15"/>
        <v>0.1171560975609756</v>
      </c>
      <c r="AN16" s="36">
        <f t="shared" si="16"/>
        <v>0.32810610875905161</v>
      </c>
      <c r="AO16" s="37">
        <f t="shared" si="17"/>
        <v>2.2733361771319118</v>
      </c>
      <c r="AP16" s="38">
        <f t="shared" si="18"/>
        <v>0.70537634408602146</v>
      </c>
      <c r="AQ16" s="38">
        <f t="shared" si="19"/>
        <v>0.29462365591397854</v>
      </c>
      <c r="AR16" s="34">
        <f t="shared" si="20"/>
        <v>13700.000000000002</v>
      </c>
      <c r="AS16" s="39" t="b">
        <f t="shared" si="25"/>
        <v>1</v>
      </c>
      <c r="AT16" s="40">
        <v>40875</v>
      </c>
    </row>
    <row r="17" spans="1:46" s="4" customFormat="1">
      <c r="A17" s="3" t="s">
        <v>47</v>
      </c>
      <c r="B17" s="4" t="s">
        <v>38</v>
      </c>
      <c r="C17" s="4" t="s">
        <v>68</v>
      </c>
      <c r="D17" s="4">
        <v>29730</v>
      </c>
      <c r="E17" s="4">
        <v>2053616</v>
      </c>
      <c r="G17" s="19">
        <v>45000</v>
      </c>
      <c r="H17" s="19">
        <v>39600</v>
      </c>
      <c r="I17" s="19">
        <f t="shared" si="21"/>
        <v>38250</v>
      </c>
      <c r="J17" s="19">
        <v>39000</v>
      </c>
      <c r="K17" s="11">
        <f t="shared" ca="1" si="22"/>
        <v>179</v>
      </c>
      <c r="L17" s="4">
        <v>2</v>
      </c>
      <c r="M17" s="4">
        <v>1</v>
      </c>
      <c r="N17" s="19">
        <f t="shared" si="23"/>
        <v>7800</v>
      </c>
      <c r="O17" s="19">
        <f t="shared" si="0"/>
        <v>31200</v>
      </c>
      <c r="P17" s="19">
        <f t="shared" si="24"/>
        <v>167.48834637978709</v>
      </c>
      <c r="Q17" s="19">
        <v>560</v>
      </c>
      <c r="R17" s="19">
        <f t="shared" si="1"/>
        <v>6720</v>
      </c>
      <c r="S17" s="19"/>
      <c r="T17" s="19">
        <f t="shared" si="2"/>
        <v>840</v>
      </c>
      <c r="U17" s="19">
        <v>1037</v>
      </c>
      <c r="V17" s="19">
        <f t="shared" si="3"/>
        <v>1877</v>
      </c>
      <c r="W17" s="19"/>
      <c r="X17" s="19">
        <v>200</v>
      </c>
      <c r="Y17" s="19">
        <f t="shared" si="4"/>
        <v>672</v>
      </c>
      <c r="Z17" s="19">
        <f t="shared" si="5"/>
        <v>672</v>
      </c>
      <c r="AA17" s="19">
        <f t="shared" si="6"/>
        <v>1544</v>
      </c>
      <c r="AB17" s="19"/>
      <c r="AC17" s="19">
        <f t="shared" si="7"/>
        <v>3299</v>
      </c>
      <c r="AD17" s="19"/>
      <c r="AE17" s="19">
        <f t="shared" si="8"/>
        <v>1289.139843442555</v>
      </c>
      <c r="AF17" s="33"/>
      <c r="AG17" s="34">
        <f t="shared" si="9"/>
        <v>6720</v>
      </c>
      <c r="AH17" s="34">
        <f t="shared" si="10"/>
        <v>6048</v>
      </c>
      <c r="AI17" s="35">
        <f t="shared" si="11"/>
        <v>0.78684857085936577</v>
      </c>
      <c r="AJ17" s="34">
        <f t="shared" si="12"/>
        <v>959.23984344255496</v>
      </c>
      <c r="AK17" s="34">
        <f t="shared" si="13"/>
        <v>901.68545283600167</v>
      </c>
      <c r="AL17" s="36">
        <f t="shared" si="14"/>
        <v>0.11560069908153868</v>
      </c>
      <c r="AM17" s="36">
        <f t="shared" si="15"/>
        <v>8.4589743589743596E-2</v>
      </c>
      <c r="AN17" s="36">
        <f t="shared" si="16"/>
        <v>0.16527433890289173</v>
      </c>
      <c r="AO17" s="37">
        <f t="shared" si="17"/>
        <v>1.6414077313969129</v>
      </c>
      <c r="AP17" s="38">
        <f t="shared" si="18"/>
        <v>0.78787878787878785</v>
      </c>
      <c r="AQ17" s="38">
        <f t="shared" si="19"/>
        <v>0.21212121212121215</v>
      </c>
      <c r="AR17" s="34">
        <f t="shared" si="20"/>
        <v>8400.0000000000018</v>
      </c>
      <c r="AS17" s="39" t="b">
        <f t="shared" si="25"/>
        <v>0</v>
      </c>
      <c r="AT17" s="40">
        <v>40875</v>
      </c>
    </row>
    <row r="18" spans="1:46" s="4" customFormat="1">
      <c r="A18" s="3" t="s">
        <v>48</v>
      </c>
      <c r="B18" s="4" t="s">
        <v>38</v>
      </c>
      <c r="C18" s="4" t="s">
        <v>68</v>
      </c>
      <c r="D18" s="4">
        <v>29730</v>
      </c>
      <c r="E18" s="4">
        <v>1079347</v>
      </c>
      <c r="G18" s="19">
        <v>32000</v>
      </c>
      <c r="H18" s="19">
        <v>55500</v>
      </c>
      <c r="I18" s="19">
        <f t="shared" si="21"/>
        <v>27200</v>
      </c>
      <c r="J18" s="19">
        <v>28000</v>
      </c>
      <c r="K18" s="11">
        <f t="shared" ca="1" si="22"/>
        <v>127</v>
      </c>
      <c r="L18" s="4">
        <v>2</v>
      </c>
      <c r="M18" s="4">
        <v>1</v>
      </c>
      <c r="N18" s="19">
        <f t="shared" si="23"/>
        <v>5600</v>
      </c>
      <c r="O18" s="19">
        <f t="shared" si="0"/>
        <v>22400</v>
      </c>
      <c r="P18" s="19">
        <f t="shared" si="24"/>
        <v>120.24804355471895</v>
      </c>
      <c r="Q18" s="19">
        <v>719</v>
      </c>
      <c r="R18" s="19">
        <f t="shared" si="1"/>
        <v>8628</v>
      </c>
      <c r="S18" s="19"/>
      <c r="T18" s="19">
        <f t="shared" si="2"/>
        <v>840</v>
      </c>
      <c r="U18" s="19">
        <v>532</v>
      </c>
      <c r="V18" s="19">
        <f t="shared" si="3"/>
        <v>1372</v>
      </c>
      <c r="W18" s="19"/>
      <c r="X18" s="19">
        <v>200</v>
      </c>
      <c r="Y18" s="19">
        <f t="shared" si="4"/>
        <v>862.80000000000007</v>
      </c>
      <c r="Z18" s="19">
        <f t="shared" si="5"/>
        <v>862.80000000000007</v>
      </c>
      <c r="AA18" s="19">
        <f t="shared" si="6"/>
        <v>1925.6000000000001</v>
      </c>
      <c r="AB18" s="19"/>
      <c r="AC18" s="19">
        <f t="shared" si="7"/>
        <v>5330.4</v>
      </c>
      <c r="AD18" s="19"/>
      <c r="AE18" s="19">
        <f t="shared" si="8"/>
        <v>3887.4234773433723</v>
      </c>
      <c r="AF18" s="33"/>
      <c r="AG18" s="34">
        <f t="shared" si="9"/>
        <v>8628</v>
      </c>
      <c r="AH18" s="34">
        <f t="shared" si="10"/>
        <v>7765.2</v>
      </c>
      <c r="AI18" s="35">
        <f t="shared" si="11"/>
        <v>0.49937883411330392</v>
      </c>
      <c r="AJ18" s="34">
        <f t="shared" si="12"/>
        <v>3354.3834773433723</v>
      </c>
      <c r="AK18" s="34">
        <f t="shared" si="13"/>
        <v>3153.1204687027698</v>
      </c>
      <c r="AL18" s="36">
        <f t="shared" si="14"/>
        <v>0.56305722655406609</v>
      </c>
      <c r="AM18" s="36">
        <f t="shared" si="15"/>
        <v>0.19037142857142855</v>
      </c>
      <c r="AN18" s="36">
        <f t="shared" si="16"/>
        <v>0.69418276381131661</v>
      </c>
      <c r="AO18" s="37">
        <f t="shared" si="17"/>
        <v>3.694030995172628</v>
      </c>
      <c r="AP18" s="38">
        <f t="shared" si="18"/>
        <v>0.40360360360360359</v>
      </c>
      <c r="AQ18" s="38">
        <f t="shared" si="19"/>
        <v>0.59639639639639641</v>
      </c>
      <c r="AR18" s="34">
        <f t="shared" si="20"/>
        <v>33100</v>
      </c>
      <c r="AS18" s="39" t="b">
        <f t="shared" si="25"/>
        <v>1</v>
      </c>
      <c r="AT18" s="40">
        <v>40927</v>
      </c>
    </row>
    <row r="19" spans="1:46" s="4" customFormat="1">
      <c r="A19" s="3" t="s">
        <v>49</v>
      </c>
      <c r="B19" s="4" t="s">
        <v>38</v>
      </c>
      <c r="C19" s="4" t="s">
        <v>68</v>
      </c>
      <c r="D19" s="4">
        <v>29730</v>
      </c>
      <c r="E19" s="4">
        <v>1065776</v>
      </c>
      <c r="G19" s="19">
        <v>41000</v>
      </c>
      <c r="H19" s="19">
        <v>44000</v>
      </c>
      <c r="I19" s="19">
        <f t="shared" si="21"/>
        <v>34850</v>
      </c>
      <c r="J19" s="19">
        <v>36000</v>
      </c>
      <c r="K19" s="11">
        <f t="shared" ca="1" si="22"/>
        <v>532</v>
      </c>
      <c r="L19" s="4">
        <v>2</v>
      </c>
      <c r="M19" s="4">
        <v>1</v>
      </c>
      <c r="N19" s="19">
        <f t="shared" si="23"/>
        <v>7200</v>
      </c>
      <c r="O19" s="19">
        <f t="shared" si="0"/>
        <v>28800</v>
      </c>
      <c r="P19" s="19">
        <f t="shared" si="24"/>
        <v>154.60462742749579</v>
      </c>
      <c r="Q19" s="19">
        <v>719</v>
      </c>
      <c r="R19" s="19">
        <f t="shared" si="1"/>
        <v>8628</v>
      </c>
      <c r="S19" s="19"/>
      <c r="T19" s="19">
        <f t="shared" si="2"/>
        <v>840</v>
      </c>
      <c r="U19" s="19">
        <v>1002</v>
      </c>
      <c r="V19" s="19">
        <f t="shared" si="3"/>
        <v>1842</v>
      </c>
      <c r="W19" s="19"/>
      <c r="X19" s="19">
        <v>200</v>
      </c>
      <c r="Y19" s="19">
        <f t="shared" si="4"/>
        <v>862.80000000000007</v>
      </c>
      <c r="Z19" s="19">
        <f t="shared" si="5"/>
        <v>862.80000000000007</v>
      </c>
      <c r="AA19" s="19">
        <f t="shared" si="6"/>
        <v>1925.6000000000001</v>
      </c>
      <c r="AB19" s="19"/>
      <c r="AC19" s="19">
        <f t="shared" si="7"/>
        <v>4860.3999999999996</v>
      </c>
      <c r="AD19" s="19"/>
      <c r="AE19" s="19">
        <f t="shared" si="8"/>
        <v>3005.1444708700501</v>
      </c>
      <c r="AF19" s="33"/>
      <c r="AG19" s="34">
        <f t="shared" si="9"/>
        <v>8628</v>
      </c>
      <c r="AH19" s="34">
        <f t="shared" si="10"/>
        <v>7765.2</v>
      </c>
      <c r="AI19" s="35">
        <f t="shared" si="11"/>
        <v>0.61299844551717275</v>
      </c>
      <c r="AJ19" s="34">
        <f t="shared" si="12"/>
        <v>2519.1044708700501</v>
      </c>
      <c r="AK19" s="34">
        <f t="shared" si="13"/>
        <v>2367.9582026178473</v>
      </c>
      <c r="AL19" s="36">
        <f t="shared" si="14"/>
        <v>0.32888308369692326</v>
      </c>
      <c r="AM19" s="36">
        <f t="shared" si="15"/>
        <v>0.13501111111111111</v>
      </c>
      <c r="AN19" s="36">
        <f t="shared" si="16"/>
        <v>0.41738117650972917</v>
      </c>
      <c r="AO19" s="37">
        <f t="shared" si="17"/>
        <v>2.619800843433874</v>
      </c>
      <c r="AP19" s="38">
        <f t="shared" si="18"/>
        <v>0.65454545454545454</v>
      </c>
      <c r="AQ19" s="38">
        <f t="shared" si="19"/>
        <v>0.34545454545454546</v>
      </c>
      <c r="AR19" s="34">
        <f t="shared" si="20"/>
        <v>15200</v>
      </c>
      <c r="AS19" s="39" t="b">
        <f t="shared" si="25"/>
        <v>1</v>
      </c>
      <c r="AT19" s="40">
        <v>40522</v>
      </c>
    </row>
    <row r="20" spans="1:46" s="4" customFormat="1">
      <c r="A20" s="3" t="s">
        <v>50</v>
      </c>
      <c r="B20" s="4" t="s">
        <v>38</v>
      </c>
      <c r="C20" s="4" t="s">
        <v>68</v>
      </c>
      <c r="D20" s="4">
        <v>29730</v>
      </c>
      <c r="E20" s="4">
        <v>1065775</v>
      </c>
      <c r="G20" s="19">
        <v>43500</v>
      </c>
      <c r="H20" s="19">
        <v>44500</v>
      </c>
      <c r="I20" s="19">
        <f t="shared" si="21"/>
        <v>36975</v>
      </c>
      <c r="J20" s="19">
        <v>38000</v>
      </c>
      <c r="K20" s="11">
        <f t="shared" ca="1" si="22"/>
        <v>532</v>
      </c>
      <c r="L20" s="4">
        <v>2</v>
      </c>
      <c r="M20" s="4">
        <v>1</v>
      </c>
      <c r="N20" s="19">
        <f t="shared" si="23"/>
        <v>7600</v>
      </c>
      <c r="O20" s="19">
        <f t="shared" si="0"/>
        <v>30400</v>
      </c>
      <c r="P20" s="19">
        <f t="shared" si="24"/>
        <v>163.19377339568999</v>
      </c>
      <c r="Q20" s="19">
        <v>719</v>
      </c>
      <c r="R20" s="19">
        <f t="shared" si="1"/>
        <v>8628</v>
      </c>
      <c r="S20" s="19"/>
      <c r="T20" s="19">
        <f t="shared" si="2"/>
        <v>840</v>
      </c>
      <c r="U20" s="19">
        <v>1013</v>
      </c>
      <c r="V20" s="19">
        <f t="shared" si="3"/>
        <v>1853</v>
      </c>
      <c r="W20" s="19"/>
      <c r="X20" s="19">
        <v>200</v>
      </c>
      <c r="Y20" s="19">
        <f t="shared" si="4"/>
        <v>862.80000000000007</v>
      </c>
      <c r="Z20" s="19">
        <f t="shared" si="5"/>
        <v>862.80000000000007</v>
      </c>
      <c r="AA20" s="19">
        <f t="shared" si="6"/>
        <v>1925.6000000000001</v>
      </c>
      <c r="AB20" s="19"/>
      <c r="AC20" s="19">
        <f t="shared" si="7"/>
        <v>4849.3999999999996</v>
      </c>
      <c r="AD20" s="19"/>
      <c r="AE20" s="19">
        <f t="shared" si="8"/>
        <v>2891.0747192517197</v>
      </c>
      <c r="AF20" s="33"/>
      <c r="AG20" s="34">
        <f t="shared" si="9"/>
        <v>8628</v>
      </c>
      <c r="AH20" s="34">
        <f t="shared" si="10"/>
        <v>7765.2</v>
      </c>
      <c r="AI20" s="35">
        <f t="shared" si="11"/>
        <v>0.62768831205226905</v>
      </c>
      <c r="AJ20" s="34">
        <f t="shared" si="12"/>
        <v>2406.1347192517196</v>
      </c>
      <c r="AK20" s="34">
        <f t="shared" si="13"/>
        <v>2261.7666360966164</v>
      </c>
      <c r="AL20" s="36">
        <f t="shared" si="14"/>
        <v>0.29760087317060741</v>
      </c>
      <c r="AM20" s="36">
        <f t="shared" si="15"/>
        <v>0.12761578947368421</v>
      </c>
      <c r="AN20" s="36">
        <f t="shared" si="16"/>
        <v>0.38040456832259462</v>
      </c>
      <c r="AO20" s="37">
        <f t="shared" si="17"/>
        <v>2.4762995441426536</v>
      </c>
      <c r="AP20" s="38">
        <f t="shared" si="18"/>
        <v>0.68314606741573036</v>
      </c>
      <c r="AQ20" s="38">
        <f t="shared" si="19"/>
        <v>0.31685393258426964</v>
      </c>
      <c r="AR20" s="34">
        <f t="shared" si="20"/>
        <v>14099.999999999998</v>
      </c>
      <c r="AS20" s="39" t="b">
        <f t="shared" si="25"/>
        <v>1</v>
      </c>
      <c r="AT20" s="40">
        <v>40522</v>
      </c>
    </row>
    <row r="21" spans="1:46" s="4" customFormat="1">
      <c r="A21" s="3" t="s">
        <v>51</v>
      </c>
      <c r="B21" s="4" t="s">
        <v>38</v>
      </c>
      <c r="C21" s="4" t="s">
        <v>68</v>
      </c>
      <c r="D21" s="4">
        <v>29730</v>
      </c>
      <c r="E21" s="4">
        <v>1080134</v>
      </c>
      <c r="G21" s="19">
        <v>53900</v>
      </c>
      <c r="H21" s="19">
        <v>47000</v>
      </c>
      <c r="I21" s="19">
        <f t="shared" si="21"/>
        <v>45815</v>
      </c>
      <c r="J21" s="19">
        <v>40000</v>
      </c>
      <c r="K21" s="11">
        <f t="shared" ca="1" si="22"/>
        <v>77</v>
      </c>
      <c r="L21" s="4">
        <v>2</v>
      </c>
      <c r="M21" s="4">
        <v>1</v>
      </c>
      <c r="N21" s="19">
        <f t="shared" si="23"/>
        <v>8000</v>
      </c>
      <c r="O21" s="19">
        <f t="shared" si="0"/>
        <v>32000</v>
      </c>
      <c r="P21" s="19">
        <f t="shared" si="24"/>
        <v>171.78291936388422</v>
      </c>
      <c r="Q21" s="19">
        <v>719</v>
      </c>
      <c r="R21" s="19">
        <f t="shared" si="1"/>
        <v>8628</v>
      </c>
      <c r="S21" s="19"/>
      <c r="T21" s="19">
        <f t="shared" si="2"/>
        <v>840</v>
      </c>
      <c r="U21" s="19">
        <v>1070</v>
      </c>
      <c r="V21" s="19">
        <f t="shared" si="3"/>
        <v>1910</v>
      </c>
      <c r="W21" s="19"/>
      <c r="X21" s="19">
        <v>200</v>
      </c>
      <c r="Y21" s="19">
        <f t="shared" si="4"/>
        <v>862.80000000000007</v>
      </c>
      <c r="Z21" s="19">
        <f t="shared" si="5"/>
        <v>862.80000000000007</v>
      </c>
      <c r="AA21" s="19">
        <f t="shared" si="6"/>
        <v>1925.6000000000001</v>
      </c>
      <c r="AB21" s="19"/>
      <c r="AC21" s="19">
        <f t="shared" si="7"/>
        <v>4792.3999999999996</v>
      </c>
      <c r="AD21" s="19"/>
      <c r="AE21" s="19">
        <f t="shared" si="8"/>
        <v>2731.0049676333892</v>
      </c>
      <c r="AF21" s="33"/>
      <c r="AG21" s="34">
        <f t="shared" si="9"/>
        <v>8628</v>
      </c>
      <c r="AH21" s="34">
        <f t="shared" si="10"/>
        <v>7765.2</v>
      </c>
      <c r="AI21" s="35">
        <f t="shared" si="11"/>
        <v>0.64830204403835201</v>
      </c>
      <c r="AJ21" s="34">
        <f t="shared" si="12"/>
        <v>2251.7649676333895</v>
      </c>
      <c r="AK21" s="34">
        <f t="shared" si="13"/>
        <v>2116.6590695753862</v>
      </c>
      <c r="AL21" s="36">
        <f t="shared" si="14"/>
        <v>0.26458238369692327</v>
      </c>
      <c r="AM21" s="36">
        <f t="shared" si="15"/>
        <v>0.11980999999999999</v>
      </c>
      <c r="AN21" s="36">
        <f t="shared" si="16"/>
        <v>0.34137562095417368</v>
      </c>
      <c r="AO21" s="37">
        <f t="shared" si="17"/>
        <v>2.324833389405244</v>
      </c>
      <c r="AP21" s="38">
        <f t="shared" si="18"/>
        <v>0.68085106382978722</v>
      </c>
      <c r="AQ21" s="38">
        <f t="shared" si="19"/>
        <v>0.31914893617021278</v>
      </c>
      <c r="AR21" s="34">
        <f t="shared" si="20"/>
        <v>15000</v>
      </c>
      <c r="AS21" s="39" t="b">
        <f t="shared" si="25"/>
        <v>1</v>
      </c>
      <c r="AT21" s="40">
        <v>40977</v>
      </c>
    </row>
    <row r="22" spans="1:46" s="4" customFormat="1">
      <c r="A22" s="3" t="s">
        <v>52</v>
      </c>
      <c r="B22" s="4" t="s">
        <v>38</v>
      </c>
      <c r="C22" s="4" t="s">
        <v>68</v>
      </c>
      <c r="D22" s="4">
        <v>29730</v>
      </c>
      <c r="E22" s="4">
        <v>2055643</v>
      </c>
      <c r="G22" s="19">
        <v>49900</v>
      </c>
      <c r="H22" s="19">
        <v>56000</v>
      </c>
      <c r="I22" s="19">
        <f t="shared" si="21"/>
        <v>42415</v>
      </c>
      <c r="J22" s="19">
        <v>43000</v>
      </c>
      <c r="K22" s="11">
        <f t="shared" ca="1" si="22"/>
        <v>164</v>
      </c>
      <c r="L22" s="4">
        <v>2</v>
      </c>
      <c r="M22" s="4">
        <v>1</v>
      </c>
      <c r="N22" s="19">
        <f t="shared" si="23"/>
        <v>8600</v>
      </c>
      <c r="O22" s="19">
        <f t="shared" si="0"/>
        <v>34400</v>
      </c>
      <c r="P22" s="19">
        <f t="shared" si="24"/>
        <v>184.66663831617552</v>
      </c>
      <c r="Q22" s="19">
        <v>719</v>
      </c>
      <c r="R22" s="19">
        <f t="shared" si="1"/>
        <v>8628</v>
      </c>
      <c r="S22" s="19"/>
      <c r="T22" s="19">
        <f t="shared" si="2"/>
        <v>840</v>
      </c>
      <c r="U22" s="19">
        <v>466</v>
      </c>
      <c r="V22" s="19">
        <f t="shared" si="3"/>
        <v>1306</v>
      </c>
      <c r="W22" s="19"/>
      <c r="X22" s="19">
        <v>200</v>
      </c>
      <c r="Y22" s="19">
        <f t="shared" si="4"/>
        <v>862.80000000000007</v>
      </c>
      <c r="Z22" s="19">
        <f t="shared" si="5"/>
        <v>862.80000000000007</v>
      </c>
      <c r="AA22" s="19">
        <f t="shared" si="6"/>
        <v>1925.6000000000001</v>
      </c>
      <c r="AB22" s="19"/>
      <c r="AC22" s="19">
        <f t="shared" si="7"/>
        <v>5396.4</v>
      </c>
      <c r="AD22" s="19"/>
      <c r="AE22" s="19">
        <f t="shared" si="8"/>
        <v>3180.4003402058934</v>
      </c>
      <c r="AF22" s="33"/>
      <c r="AG22" s="34">
        <f t="shared" si="9"/>
        <v>8628</v>
      </c>
      <c r="AH22" s="34">
        <f t="shared" si="10"/>
        <v>7765.2</v>
      </c>
      <c r="AI22" s="35">
        <f t="shared" si="11"/>
        <v>0.59042905009453805</v>
      </c>
      <c r="AJ22" s="34">
        <f t="shared" si="12"/>
        <v>2640.7603402058935</v>
      </c>
      <c r="AK22" s="34">
        <f t="shared" si="13"/>
        <v>2482.31471979354</v>
      </c>
      <c r="AL22" s="36">
        <f t="shared" si="14"/>
        <v>0.28864124648762091</v>
      </c>
      <c r="AM22" s="36">
        <f t="shared" si="15"/>
        <v>0.12549767441860465</v>
      </c>
      <c r="AN22" s="36">
        <f t="shared" si="16"/>
        <v>0.36981399304719692</v>
      </c>
      <c r="AO22" s="37">
        <f t="shared" si="17"/>
        <v>2.4351989298145433</v>
      </c>
      <c r="AP22" s="38">
        <f t="shared" si="18"/>
        <v>0.61428571428571432</v>
      </c>
      <c r="AQ22" s="38">
        <f t="shared" si="19"/>
        <v>0.38571428571428568</v>
      </c>
      <c r="AR22" s="34">
        <f t="shared" si="20"/>
        <v>21599.999999999996</v>
      </c>
      <c r="AS22" s="39" t="b">
        <f t="shared" si="25"/>
        <v>1</v>
      </c>
      <c r="AT22" s="40">
        <v>40890</v>
      </c>
    </row>
    <row r="23" spans="1:46" s="4" customFormat="1">
      <c r="A23" s="3" t="s">
        <v>53</v>
      </c>
      <c r="B23" s="4" t="s">
        <v>38</v>
      </c>
      <c r="C23" s="4" t="s">
        <v>68</v>
      </c>
      <c r="D23" s="4">
        <v>29730</v>
      </c>
      <c r="E23" s="4">
        <v>1078336</v>
      </c>
      <c r="G23" s="19">
        <v>55000</v>
      </c>
      <c r="H23" s="19">
        <v>59500</v>
      </c>
      <c r="I23" s="19">
        <f t="shared" si="21"/>
        <v>46750</v>
      </c>
      <c r="J23" s="19">
        <v>45000</v>
      </c>
      <c r="K23" s="11">
        <f t="shared" ca="1" si="22"/>
        <v>211</v>
      </c>
      <c r="L23" s="4">
        <v>3</v>
      </c>
      <c r="M23" s="4">
        <v>1</v>
      </c>
      <c r="N23" s="19">
        <f t="shared" si="23"/>
        <v>9000</v>
      </c>
      <c r="O23" s="19">
        <f t="shared" si="0"/>
        <v>36000</v>
      </c>
      <c r="P23" s="19">
        <f t="shared" si="24"/>
        <v>193.25578428436975</v>
      </c>
      <c r="Q23" s="19">
        <v>997</v>
      </c>
      <c r="R23" s="19">
        <f t="shared" si="1"/>
        <v>11964</v>
      </c>
      <c r="S23" s="19"/>
      <c r="T23" s="19">
        <f t="shared" si="2"/>
        <v>840</v>
      </c>
      <c r="U23" s="19">
        <v>91</v>
      </c>
      <c r="V23" s="19">
        <f t="shared" si="3"/>
        <v>931</v>
      </c>
      <c r="W23" s="19"/>
      <c r="X23" s="19">
        <v>200</v>
      </c>
      <c r="Y23" s="19">
        <f t="shared" si="4"/>
        <v>1196.4000000000001</v>
      </c>
      <c r="Z23" s="19">
        <f t="shared" si="5"/>
        <v>1196.4000000000001</v>
      </c>
      <c r="AA23" s="19">
        <f t="shared" si="6"/>
        <v>2592.8000000000002</v>
      </c>
      <c r="AB23" s="19"/>
      <c r="AC23" s="19">
        <f t="shared" si="7"/>
        <v>8440.2000000000007</v>
      </c>
      <c r="AD23" s="19"/>
      <c r="AE23" s="19">
        <f t="shared" si="8"/>
        <v>6121.1305885875636</v>
      </c>
      <c r="AF23" s="33"/>
      <c r="AG23" s="34">
        <f t="shared" si="9"/>
        <v>11964</v>
      </c>
      <c r="AH23" s="34">
        <f t="shared" si="10"/>
        <v>10767.6</v>
      </c>
      <c r="AI23" s="35">
        <f t="shared" si="11"/>
        <v>0.43152321886143963</v>
      </c>
      <c r="AJ23" s="34">
        <f t="shared" si="12"/>
        <v>5277.1105885875631</v>
      </c>
      <c r="AK23" s="34">
        <f t="shared" si="13"/>
        <v>4960.483953272309</v>
      </c>
      <c r="AL23" s="36">
        <f t="shared" si="14"/>
        <v>0.55116488369692318</v>
      </c>
      <c r="AM23" s="36">
        <f t="shared" si="15"/>
        <v>0.18756</v>
      </c>
      <c r="AN23" s="36">
        <f t="shared" si="16"/>
        <v>0.6801256209541735</v>
      </c>
      <c r="AO23" s="37">
        <f t="shared" si="17"/>
        <v>3.6394770930377058</v>
      </c>
      <c r="AP23" s="38">
        <f t="shared" si="18"/>
        <v>0.60504201680672265</v>
      </c>
      <c r="AQ23" s="38">
        <f t="shared" si="19"/>
        <v>0.39495798319327735</v>
      </c>
      <c r="AR23" s="34">
        <f t="shared" si="20"/>
        <v>23500.000000000004</v>
      </c>
      <c r="AS23" s="39" t="b">
        <f t="shared" si="25"/>
        <v>1</v>
      </c>
      <c r="AT23" s="40">
        <v>40843</v>
      </c>
    </row>
    <row r="24" spans="1:46" s="4" customFormat="1">
      <c r="A24" s="3" t="s">
        <v>54</v>
      </c>
      <c r="B24" s="4" t="s">
        <v>38</v>
      </c>
      <c r="C24" s="4" t="s">
        <v>68</v>
      </c>
      <c r="D24" s="4">
        <v>29732</v>
      </c>
      <c r="E24" s="4">
        <v>360644</v>
      </c>
      <c r="G24" s="19">
        <v>54900</v>
      </c>
      <c r="H24" s="19">
        <v>89000</v>
      </c>
      <c r="I24" s="19">
        <f t="shared" si="21"/>
        <v>46665</v>
      </c>
      <c r="J24" s="19">
        <v>52000</v>
      </c>
      <c r="K24" s="11">
        <f t="shared" ca="1" si="22"/>
        <v>119</v>
      </c>
      <c r="L24" s="4">
        <v>3</v>
      </c>
      <c r="M24" s="4">
        <v>2</v>
      </c>
      <c r="N24" s="19">
        <f t="shared" si="23"/>
        <v>10400</v>
      </c>
      <c r="O24" s="19">
        <f t="shared" si="0"/>
        <v>41600</v>
      </c>
      <c r="P24" s="19">
        <f t="shared" si="24"/>
        <v>223.31779517304946</v>
      </c>
      <c r="Q24" s="19">
        <v>997</v>
      </c>
      <c r="R24" s="19">
        <f t="shared" si="1"/>
        <v>11964</v>
      </c>
      <c r="S24" s="19"/>
      <c r="T24" s="19">
        <f t="shared" si="2"/>
        <v>840</v>
      </c>
      <c r="U24" s="19">
        <v>741</v>
      </c>
      <c r="V24" s="19">
        <f t="shared" si="3"/>
        <v>1581</v>
      </c>
      <c r="W24" s="19"/>
      <c r="X24" s="19">
        <v>200</v>
      </c>
      <c r="Y24" s="19">
        <f t="shared" si="4"/>
        <v>1196.4000000000001</v>
      </c>
      <c r="Z24" s="19">
        <f t="shared" si="5"/>
        <v>1196.4000000000001</v>
      </c>
      <c r="AA24" s="19">
        <f t="shared" si="6"/>
        <v>2592.8000000000002</v>
      </c>
      <c r="AB24" s="19"/>
      <c r="AC24" s="19">
        <f t="shared" si="7"/>
        <v>7790.2</v>
      </c>
      <c r="AD24" s="19"/>
      <c r="AE24" s="19">
        <f t="shared" si="8"/>
        <v>5110.3864579234069</v>
      </c>
      <c r="AF24" s="33"/>
      <c r="AG24" s="34">
        <f t="shared" si="9"/>
        <v>11964</v>
      </c>
      <c r="AH24" s="34">
        <f t="shared" si="10"/>
        <v>10767.6</v>
      </c>
      <c r="AI24" s="35">
        <f t="shared" si="11"/>
        <v>0.52539224544713714</v>
      </c>
      <c r="AJ24" s="34">
        <f t="shared" si="12"/>
        <v>4331.3664579234064</v>
      </c>
      <c r="AK24" s="34">
        <f t="shared" si="13"/>
        <v>4071.484470448002</v>
      </c>
      <c r="AL24" s="36">
        <f t="shared" si="14"/>
        <v>0.39148889138923093</v>
      </c>
      <c r="AM24" s="36">
        <f t="shared" si="15"/>
        <v>0.14981153846153847</v>
      </c>
      <c r="AN24" s="36">
        <f t="shared" si="16"/>
        <v>0.49138331326186596</v>
      </c>
      <c r="AO24" s="37">
        <f t="shared" si="17"/>
        <v>2.9069932954974758</v>
      </c>
      <c r="AP24" s="38">
        <f t="shared" si="18"/>
        <v>0.46741573033707867</v>
      </c>
      <c r="AQ24" s="38">
        <f t="shared" si="19"/>
        <v>0.53258426966292127</v>
      </c>
      <c r="AR24" s="34">
        <f t="shared" si="20"/>
        <v>47399.999999999993</v>
      </c>
      <c r="AS24" s="39" t="b">
        <f t="shared" si="25"/>
        <v>1</v>
      </c>
      <c r="AT24" s="40">
        <v>40935</v>
      </c>
    </row>
    <row r="25" spans="1:46" s="4" customFormat="1">
      <c r="A25" s="3" t="s">
        <v>55</v>
      </c>
      <c r="B25" s="4" t="s">
        <v>38</v>
      </c>
      <c r="C25" s="4" t="s">
        <v>68</v>
      </c>
      <c r="D25" s="4">
        <v>29730</v>
      </c>
      <c r="E25" s="4">
        <v>2061194</v>
      </c>
      <c r="G25" s="19">
        <v>39900</v>
      </c>
      <c r="H25" s="19">
        <v>44000</v>
      </c>
      <c r="I25" s="19">
        <f t="shared" si="21"/>
        <v>33915</v>
      </c>
      <c r="J25" s="19">
        <v>34000</v>
      </c>
      <c r="K25" s="11">
        <f t="shared" ca="1" si="22"/>
        <v>364</v>
      </c>
      <c r="L25" s="4">
        <v>2</v>
      </c>
      <c r="M25" s="4">
        <v>1</v>
      </c>
      <c r="N25" s="19">
        <f t="shared" si="23"/>
        <v>6800</v>
      </c>
      <c r="O25" s="19">
        <f t="shared" si="0"/>
        <v>27200</v>
      </c>
      <c r="P25" s="19">
        <f t="shared" si="24"/>
        <v>146.01548145930158</v>
      </c>
      <c r="Q25" s="19">
        <v>719</v>
      </c>
      <c r="R25" s="19">
        <f t="shared" si="1"/>
        <v>8628</v>
      </c>
      <c r="S25" s="19"/>
      <c r="T25" s="19">
        <f t="shared" si="2"/>
        <v>840</v>
      </c>
      <c r="U25" s="19">
        <v>1002</v>
      </c>
      <c r="V25" s="19">
        <f t="shared" si="3"/>
        <v>1842</v>
      </c>
      <c r="W25" s="19"/>
      <c r="X25" s="19">
        <v>200</v>
      </c>
      <c r="Y25" s="19">
        <f t="shared" si="4"/>
        <v>862.80000000000007</v>
      </c>
      <c r="Z25" s="19">
        <f t="shared" si="5"/>
        <v>862.80000000000007</v>
      </c>
      <c r="AA25" s="19">
        <f t="shared" si="6"/>
        <v>1925.6000000000001</v>
      </c>
      <c r="AB25" s="19"/>
      <c r="AC25" s="19">
        <f t="shared" si="7"/>
        <v>4860.3999999999996</v>
      </c>
      <c r="AD25" s="19"/>
      <c r="AE25" s="19">
        <f t="shared" si="8"/>
        <v>3108.2142224883805</v>
      </c>
      <c r="AF25" s="33"/>
      <c r="AG25" s="34">
        <f t="shared" si="9"/>
        <v>8628</v>
      </c>
      <c r="AH25" s="34">
        <f t="shared" si="10"/>
        <v>7765.2</v>
      </c>
      <c r="AI25" s="35">
        <f t="shared" si="11"/>
        <v>0.59972515550296446</v>
      </c>
      <c r="AJ25" s="34">
        <f t="shared" si="12"/>
        <v>2622.1742224883806</v>
      </c>
      <c r="AK25" s="34">
        <f t="shared" si="13"/>
        <v>2464.8437691390777</v>
      </c>
      <c r="AL25" s="36">
        <f t="shared" si="14"/>
        <v>0.36247702487339378</v>
      </c>
      <c r="AM25" s="36">
        <f t="shared" si="15"/>
        <v>0.14295294117647059</v>
      </c>
      <c r="AN25" s="36">
        <f t="shared" si="16"/>
        <v>0.45709032683652662</v>
      </c>
      <c r="AO25" s="37">
        <f t="shared" si="17"/>
        <v>2.773906775400572</v>
      </c>
      <c r="AP25" s="38">
        <f t="shared" si="18"/>
        <v>0.61818181818181817</v>
      </c>
      <c r="AQ25" s="38">
        <f t="shared" si="19"/>
        <v>0.38181818181818183</v>
      </c>
      <c r="AR25" s="34">
        <f t="shared" si="20"/>
        <v>16800</v>
      </c>
      <c r="AS25" s="39" t="b">
        <f t="shared" si="25"/>
        <v>1</v>
      </c>
      <c r="AT25" s="40">
        <v>40690</v>
      </c>
    </row>
    <row r="26" spans="1:46" s="4" customFormat="1">
      <c r="A26" s="3" t="s">
        <v>56</v>
      </c>
      <c r="B26" s="4" t="s">
        <v>38</v>
      </c>
      <c r="C26" s="4" t="s">
        <v>68</v>
      </c>
      <c r="D26" s="4">
        <v>29730</v>
      </c>
      <c r="E26" s="4">
        <v>1075729</v>
      </c>
      <c r="G26" s="19">
        <v>45000</v>
      </c>
      <c r="H26" s="19">
        <v>65500</v>
      </c>
      <c r="I26" s="19">
        <f t="shared" si="21"/>
        <v>38250</v>
      </c>
      <c r="J26" s="19">
        <v>40000</v>
      </c>
      <c r="K26" s="11">
        <f t="shared" ca="1" si="22"/>
        <v>377</v>
      </c>
      <c r="L26" s="4">
        <v>2</v>
      </c>
      <c r="M26" s="4">
        <v>1</v>
      </c>
      <c r="N26" s="19">
        <f t="shared" si="23"/>
        <v>8000</v>
      </c>
      <c r="O26" s="19">
        <f t="shared" si="0"/>
        <v>32000</v>
      </c>
      <c r="P26" s="19">
        <f t="shared" si="24"/>
        <v>171.78291936388422</v>
      </c>
      <c r="Q26" s="19">
        <v>719</v>
      </c>
      <c r="R26" s="19">
        <f t="shared" si="1"/>
        <v>8628</v>
      </c>
      <c r="S26" s="19"/>
      <c r="T26" s="19">
        <f t="shared" si="2"/>
        <v>840</v>
      </c>
      <c r="U26" s="19">
        <v>1492</v>
      </c>
      <c r="V26" s="19">
        <f t="shared" si="3"/>
        <v>2332</v>
      </c>
      <c r="W26" s="19"/>
      <c r="X26" s="19">
        <v>200</v>
      </c>
      <c r="Y26" s="19">
        <f t="shared" si="4"/>
        <v>862.80000000000007</v>
      </c>
      <c r="Z26" s="19">
        <f t="shared" si="5"/>
        <v>862.80000000000007</v>
      </c>
      <c r="AA26" s="19">
        <f t="shared" si="6"/>
        <v>1925.6000000000001</v>
      </c>
      <c r="AB26" s="19"/>
      <c r="AC26" s="19">
        <f t="shared" si="7"/>
        <v>4370.3999999999996</v>
      </c>
      <c r="AD26" s="19"/>
      <c r="AE26" s="19">
        <f t="shared" si="8"/>
        <v>2309.0049676333892</v>
      </c>
      <c r="AF26" s="33"/>
      <c r="AG26" s="34">
        <f t="shared" si="9"/>
        <v>8628</v>
      </c>
      <c r="AH26" s="34">
        <f t="shared" si="10"/>
        <v>7765.2</v>
      </c>
      <c r="AI26" s="35">
        <f t="shared" si="11"/>
        <v>0.70264707056696685</v>
      </c>
      <c r="AJ26" s="34">
        <f t="shared" si="12"/>
        <v>1871.9649676333893</v>
      </c>
      <c r="AK26" s="34">
        <f t="shared" si="13"/>
        <v>1759.647069575386</v>
      </c>
      <c r="AL26" s="36">
        <f t="shared" si="14"/>
        <v>0.21995588369692326</v>
      </c>
      <c r="AM26" s="36">
        <f t="shared" si="15"/>
        <v>0.10926</v>
      </c>
      <c r="AN26" s="36">
        <f t="shared" si="16"/>
        <v>0.28862562095417366</v>
      </c>
      <c r="AO26" s="37">
        <f t="shared" si="17"/>
        <v>2.1201176540056501</v>
      </c>
      <c r="AP26" s="38">
        <f t="shared" si="18"/>
        <v>0.48854961832061067</v>
      </c>
      <c r="AQ26" s="38">
        <f t="shared" si="19"/>
        <v>0.51145038167938939</v>
      </c>
      <c r="AR26" s="34">
        <f t="shared" si="20"/>
        <v>33500.000000000007</v>
      </c>
      <c r="AS26" s="39" t="b">
        <f t="shared" si="25"/>
        <v>1</v>
      </c>
      <c r="AT26" s="40">
        <v>40677</v>
      </c>
    </row>
    <row r="27" spans="1:46" s="4" customFormat="1">
      <c r="A27" s="3" t="s">
        <v>57</v>
      </c>
      <c r="B27" s="4" t="s">
        <v>38</v>
      </c>
      <c r="C27" s="4" t="s">
        <v>68</v>
      </c>
      <c r="D27" s="4">
        <v>29730</v>
      </c>
      <c r="E27" s="4">
        <v>2054929</v>
      </c>
      <c r="G27" s="19">
        <v>49900</v>
      </c>
      <c r="H27" s="19">
        <v>66000</v>
      </c>
      <c r="I27" s="19">
        <f t="shared" si="21"/>
        <v>42415</v>
      </c>
      <c r="J27" s="19">
        <v>42000</v>
      </c>
      <c r="K27" s="11">
        <f t="shared" ca="1" si="22"/>
        <v>495</v>
      </c>
      <c r="L27" s="4">
        <v>2</v>
      </c>
      <c r="M27" s="4">
        <v>1</v>
      </c>
      <c r="N27" s="19">
        <f t="shared" si="23"/>
        <v>8400</v>
      </c>
      <c r="O27" s="19">
        <f t="shared" si="0"/>
        <v>33600</v>
      </c>
      <c r="P27" s="19">
        <f t="shared" si="24"/>
        <v>180.37206533207842</v>
      </c>
      <c r="Q27" s="19">
        <v>719</v>
      </c>
      <c r="R27" s="19">
        <f t="shared" si="1"/>
        <v>8628</v>
      </c>
      <c r="S27" s="19"/>
      <c r="T27" s="19">
        <f t="shared" si="2"/>
        <v>840</v>
      </c>
      <c r="U27" s="19">
        <v>550</v>
      </c>
      <c r="V27" s="19">
        <f t="shared" si="3"/>
        <v>1390</v>
      </c>
      <c r="W27" s="19"/>
      <c r="X27" s="19">
        <v>200</v>
      </c>
      <c r="Y27" s="19">
        <f t="shared" si="4"/>
        <v>862.80000000000007</v>
      </c>
      <c r="Z27" s="19">
        <f t="shared" si="5"/>
        <v>862.80000000000007</v>
      </c>
      <c r="AA27" s="19">
        <f t="shared" si="6"/>
        <v>1925.6000000000001</v>
      </c>
      <c r="AB27" s="19"/>
      <c r="AC27" s="19">
        <f t="shared" si="7"/>
        <v>5312.4</v>
      </c>
      <c r="AD27" s="19"/>
      <c r="AE27" s="19">
        <f t="shared" si="8"/>
        <v>3147.9352160150584</v>
      </c>
      <c r="AF27" s="33"/>
      <c r="AG27" s="34">
        <f t="shared" si="9"/>
        <v>8628</v>
      </c>
      <c r="AH27" s="34">
        <f t="shared" si="10"/>
        <v>7765.2</v>
      </c>
      <c r="AI27" s="35">
        <f t="shared" si="11"/>
        <v>0.59460989851967005</v>
      </c>
      <c r="AJ27" s="34">
        <f t="shared" si="12"/>
        <v>2616.6952160150586</v>
      </c>
      <c r="AK27" s="34">
        <f t="shared" si="13"/>
        <v>2459.6935030541549</v>
      </c>
      <c r="AL27" s="36">
        <f t="shared" si="14"/>
        <v>0.29282065512549466</v>
      </c>
      <c r="AM27" s="36">
        <f t="shared" si="15"/>
        <v>0.12648571428571428</v>
      </c>
      <c r="AN27" s="36">
        <f t="shared" si="16"/>
        <v>0.37475419238274504</v>
      </c>
      <c r="AO27" s="37">
        <f t="shared" si="17"/>
        <v>2.4543711864969566</v>
      </c>
      <c r="AP27" s="38">
        <f t="shared" si="18"/>
        <v>0.50909090909090904</v>
      </c>
      <c r="AQ27" s="38">
        <f t="shared" si="19"/>
        <v>0.49090909090909096</v>
      </c>
      <c r="AR27" s="34">
        <f t="shared" si="20"/>
        <v>32400.000000000004</v>
      </c>
      <c r="AS27" s="39" t="b">
        <f t="shared" si="25"/>
        <v>1</v>
      </c>
      <c r="AT27" s="40">
        <v>40559</v>
      </c>
    </row>
    <row r="28" spans="1:46" s="4" customFormat="1">
      <c r="A28" s="3" t="s">
        <v>58</v>
      </c>
      <c r="B28" s="4" t="s">
        <v>38</v>
      </c>
      <c r="C28" s="4" t="s">
        <v>68</v>
      </c>
      <c r="D28" s="4">
        <v>29730</v>
      </c>
      <c r="E28" s="4">
        <v>1078827</v>
      </c>
      <c r="G28" s="19">
        <v>34900</v>
      </c>
      <c r="H28" s="19">
        <v>34500</v>
      </c>
      <c r="I28" s="19">
        <f t="shared" si="21"/>
        <v>29665</v>
      </c>
      <c r="J28" s="19">
        <v>29000</v>
      </c>
      <c r="K28" s="11">
        <f t="shared" ca="1" si="22"/>
        <v>659</v>
      </c>
      <c r="L28" s="4">
        <v>2</v>
      </c>
      <c r="M28" s="4">
        <v>1</v>
      </c>
      <c r="N28" s="19">
        <f t="shared" si="23"/>
        <v>5800</v>
      </c>
      <c r="O28" s="19">
        <f t="shared" si="0"/>
        <v>23200</v>
      </c>
      <c r="P28" s="19">
        <f t="shared" si="24"/>
        <v>124.54261653881606</v>
      </c>
      <c r="Q28" s="19">
        <v>719</v>
      </c>
      <c r="R28" s="19">
        <f t="shared" si="1"/>
        <v>8628</v>
      </c>
      <c r="S28" s="19"/>
      <c r="T28" s="19">
        <f t="shared" si="2"/>
        <v>840</v>
      </c>
      <c r="U28" s="19">
        <v>809</v>
      </c>
      <c r="V28" s="19">
        <f t="shared" si="3"/>
        <v>1649</v>
      </c>
      <c r="W28" s="19"/>
      <c r="X28" s="19">
        <v>200</v>
      </c>
      <c r="Y28" s="19">
        <f t="shared" si="4"/>
        <v>862.80000000000007</v>
      </c>
      <c r="Z28" s="19">
        <f t="shared" si="5"/>
        <v>862.80000000000007</v>
      </c>
      <c r="AA28" s="19">
        <f t="shared" si="6"/>
        <v>1925.6000000000001</v>
      </c>
      <c r="AB28" s="19"/>
      <c r="AC28" s="19">
        <f t="shared" si="7"/>
        <v>5053.3999999999996</v>
      </c>
      <c r="AD28" s="19"/>
      <c r="AE28" s="19">
        <f t="shared" si="8"/>
        <v>3558.8886015342068</v>
      </c>
      <c r="AF28" s="33"/>
      <c r="AG28" s="34">
        <f t="shared" si="9"/>
        <v>8628</v>
      </c>
      <c r="AH28" s="34">
        <f t="shared" si="10"/>
        <v>7765.2</v>
      </c>
      <c r="AI28" s="35">
        <f t="shared" si="11"/>
        <v>0.54168745151004394</v>
      </c>
      <c r="AJ28" s="34">
        <f t="shared" si="12"/>
        <v>3053.5486015342067</v>
      </c>
      <c r="AK28" s="34">
        <f t="shared" si="13"/>
        <v>2870.3356854421545</v>
      </c>
      <c r="AL28" s="36">
        <f t="shared" si="14"/>
        <v>0.49488546300726799</v>
      </c>
      <c r="AM28" s="36">
        <f t="shared" si="15"/>
        <v>0.1742551724137931</v>
      </c>
      <c r="AN28" s="36">
        <f t="shared" si="16"/>
        <v>0.6136014830231391</v>
      </c>
      <c r="AO28" s="37">
        <f t="shared" si="17"/>
        <v>3.3813057599879288</v>
      </c>
      <c r="AP28" s="38">
        <f t="shared" si="18"/>
        <v>0.672463768115942</v>
      </c>
      <c r="AQ28" s="38">
        <f t="shared" si="19"/>
        <v>0.327536231884058</v>
      </c>
      <c r="AR28" s="34">
        <f t="shared" si="20"/>
        <v>11300.000000000002</v>
      </c>
      <c r="AS28" s="39" t="b">
        <f t="shared" si="25"/>
        <v>1</v>
      </c>
      <c r="AT28" s="40">
        <v>40395</v>
      </c>
    </row>
    <row r="29" spans="1:46" s="4" customFormat="1">
      <c r="A29" s="3" t="s">
        <v>59</v>
      </c>
      <c r="B29" s="4" t="s">
        <v>38</v>
      </c>
      <c r="C29" s="4" t="s">
        <v>68</v>
      </c>
      <c r="D29" s="4">
        <v>29730</v>
      </c>
      <c r="E29" s="4">
        <v>1077256</v>
      </c>
      <c r="G29" s="19">
        <v>49900</v>
      </c>
      <c r="H29" s="19">
        <v>37800</v>
      </c>
      <c r="I29" s="19">
        <f t="shared" si="21"/>
        <v>42415</v>
      </c>
      <c r="J29" s="19">
        <v>46000</v>
      </c>
      <c r="K29" s="11">
        <f t="shared" ca="1" si="22"/>
        <v>280</v>
      </c>
      <c r="L29" s="4">
        <v>3</v>
      </c>
      <c r="M29" s="4">
        <v>1</v>
      </c>
      <c r="N29" s="19">
        <f t="shared" si="23"/>
        <v>9200</v>
      </c>
      <c r="O29" s="19">
        <f t="shared" si="0"/>
        <v>36800</v>
      </c>
      <c r="P29" s="19">
        <f t="shared" si="24"/>
        <v>197.55035726846683</v>
      </c>
      <c r="Q29" s="19">
        <v>900</v>
      </c>
      <c r="R29" s="19">
        <f t="shared" si="1"/>
        <v>10800</v>
      </c>
      <c r="S29" s="19"/>
      <c r="T29" s="19">
        <f t="shared" si="2"/>
        <v>840</v>
      </c>
      <c r="U29" s="19">
        <v>861</v>
      </c>
      <c r="V29" s="19">
        <f t="shared" si="3"/>
        <v>1701</v>
      </c>
      <c r="W29" s="19"/>
      <c r="X29" s="19">
        <v>200</v>
      </c>
      <c r="Y29" s="19">
        <f t="shared" si="4"/>
        <v>1080</v>
      </c>
      <c r="Z29" s="19">
        <f t="shared" si="5"/>
        <v>1080</v>
      </c>
      <c r="AA29" s="19">
        <f t="shared" si="6"/>
        <v>2360</v>
      </c>
      <c r="AB29" s="19"/>
      <c r="AC29" s="19">
        <f t="shared" si="7"/>
        <v>6739</v>
      </c>
      <c r="AD29" s="19"/>
      <c r="AE29" s="19">
        <f t="shared" si="8"/>
        <v>4368.3957127783979</v>
      </c>
      <c r="AF29" s="33"/>
      <c r="AG29" s="34">
        <f t="shared" si="9"/>
        <v>10800</v>
      </c>
      <c r="AH29" s="34">
        <f t="shared" si="10"/>
        <v>9720</v>
      </c>
      <c r="AI29" s="35">
        <f t="shared" si="11"/>
        <v>0.55057657275942407</v>
      </c>
      <c r="AJ29" s="34">
        <f t="shared" si="12"/>
        <v>3694.4957127783978</v>
      </c>
      <c r="AK29" s="34">
        <f t="shared" si="13"/>
        <v>3472.8259700116942</v>
      </c>
      <c r="AL29" s="36">
        <f t="shared" si="14"/>
        <v>0.37748108369692329</v>
      </c>
      <c r="AM29" s="36">
        <f t="shared" si="15"/>
        <v>0.14649999999999999</v>
      </c>
      <c r="AN29" s="36">
        <f t="shared" si="16"/>
        <v>0.47482562095417369</v>
      </c>
      <c r="AO29" s="37">
        <f t="shared" si="17"/>
        <v>2.8427350934635527</v>
      </c>
      <c r="AP29" s="38">
        <f t="shared" si="18"/>
        <v>0.97354497354497349</v>
      </c>
      <c r="AQ29" s="38">
        <f t="shared" si="19"/>
        <v>2.6455026455026509E-2</v>
      </c>
      <c r="AR29" s="34">
        <f t="shared" si="20"/>
        <v>1000.000000000002</v>
      </c>
      <c r="AS29" s="39" t="b">
        <f t="shared" si="25"/>
        <v>0</v>
      </c>
      <c r="AT29" s="40">
        <v>40774</v>
      </c>
    </row>
    <row r="30" spans="1:46" s="4" customFormat="1">
      <c r="A30" s="3" t="s">
        <v>60</v>
      </c>
      <c r="B30" s="4" t="s">
        <v>38</v>
      </c>
      <c r="C30" s="4" t="s">
        <v>68</v>
      </c>
      <c r="D30" s="4">
        <v>29730</v>
      </c>
      <c r="E30" s="4">
        <v>1078272</v>
      </c>
      <c r="G30" s="19">
        <v>24900</v>
      </c>
      <c r="H30" s="19">
        <v>37000</v>
      </c>
      <c r="I30" s="19">
        <f t="shared" si="21"/>
        <v>21165</v>
      </c>
      <c r="J30" s="19">
        <v>18000</v>
      </c>
      <c r="K30" s="11">
        <f t="shared" ca="1" si="22"/>
        <v>216</v>
      </c>
      <c r="L30" s="4">
        <v>2</v>
      </c>
      <c r="M30" s="4">
        <v>1</v>
      </c>
      <c r="N30" s="19">
        <f t="shared" si="23"/>
        <v>3600</v>
      </c>
      <c r="O30" s="19">
        <f t="shared" si="0"/>
        <v>14400</v>
      </c>
      <c r="P30" s="19">
        <f t="shared" si="24"/>
        <v>77.302313713747893</v>
      </c>
      <c r="Q30" s="19">
        <v>719</v>
      </c>
      <c r="R30" s="19">
        <f t="shared" si="1"/>
        <v>8628</v>
      </c>
      <c r="S30" s="19"/>
      <c r="T30" s="19">
        <f t="shared" si="2"/>
        <v>840</v>
      </c>
      <c r="U30" s="19">
        <v>969</v>
      </c>
      <c r="V30" s="19">
        <f t="shared" si="3"/>
        <v>1809</v>
      </c>
      <c r="W30" s="19"/>
      <c r="X30" s="19">
        <v>200</v>
      </c>
      <c r="Y30" s="19">
        <f t="shared" si="4"/>
        <v>862.80000000000007</v>
      </c>
      <c r="Z30" s="19">
        <f t="shared" si="5"/>
        <v>862.80000000000007</v>
      </c>
      <c r="AA30" s="19">
        <f t="shared" si="6"/>
        <v>1925.6000000000001</v>
      </c>
      <c r="AB30" s="19"/>
      <c r="AC30" s="19">
        <f t="shared" si="7"/>
        <v>4893.3999999999996</v>
      </c>
      <c r="AD30" s="19"/>
      <c r="AE30" s="19">
        <f t="shared" si="8"/>
        <v>3965.7722354350249</v>
      </c>
      <c r="AF30" s="33"/>
      <c r="AG30" s="34">
        <f t="shared" si="9"/>
        <v>8628</v>
      </c>
      <c r="AH30" s="34">
        <f t="shared" si="10"/>
        <v>7765.2</v>
      </c>
      <c r="AI30" s="35">
        <f t="shared" si="11"/>
        <v>0.4892891058266336</v>
      </c>
      <c r="AJ30" s="34">
        <f t="shared" si="12"/>
        <v>3476.4322354350247</v>
      </c>
      <c r="AK30" s="34">
        <f t="shared" si="13"/>
        <v>3267.8463013089231</v>
      </c>
      <c r="AL30" s="36">
        <f t="shared" si="14"/>
        <v>0.90773508369692313</v>
      </c>
      <c r="AM30" s="36">
        <f t="shared" si="15"/>
        <v>0.27185555555555552</v>
      </c>
      <c r="AN30" s="36">
        <f t="shared" si="16"/>
        <v>1.1016033987319511</v>
      </c>
      <c r="AO30" s="37">
        <f t="shared" si="17"/>
        <v>5.2751763012341861</v>
      </c>
      <c r="AP30" s="38">
        <f t="shared" si="18"/>
        <v>0.38918918918918921</v>
      </c>
      <c r="AQ30" s="38">
        <f t="shared" si="19"/>
        <v>0.61081081081081079</v>
      </c>
      <c r="AR30" s="34">
        <f t="shared" si="20"/>
        <v>22600</v>
      </c>
      <c r="AS30" s="39" t="b">
        <f t="shared" si="25"/>
        <v>1</v>
      </c>
      <c r="AT30" s="40">
        <v>40838</v>
      </c>
    </row>
    <row r="31" spans="1:46" s="4" customFormat="1">
      <c r="A31" s="3" t="s">
        <v>61</v>
      </c>
      <c r="B31" s="4" t="s">
        <v>38</v>
      </c>
      <c r="C31" s="4" t="s">
        <v>68</v>
      </c>
      <c r="D31" s="4">
        <v>29730</v>
      </c>
      <c r="E31" s="4">
        <v>969463</v>
      </c>
      <c r="G31" s="19">
        <v>39900</v>
      </c>
      <c r="H31" s="19">
        <v>55000</v>
      </c>
      <c r="I31" s="19">
        <f t="shared" si="21"/>
        <v>33915</v>
      </c>
      <c r="J31" s="19">
        <v>30000</v>
      </c>
      <c r="K31" s="11">
        <f t="shared" ca="1" si="22"/>
        <v>638</v>
      </c>
      <c r="L31" s="4">
        <v>2</v>
      </c>
      <c r="M31" s="4">
        <v>1</v>
      </c>
      <c r="N31" s="19">
        <f t="shared" si="23"/>
        <v>6000</v>
      </c>
      <c r="O31" s="19">
        <f t="shared" si="0"/>
        <v>24000</v>
      </c>
      <c r="P31" s="19">
        <f t="shared" si="24"/>
        <v>128.83718952291315</v>
      </c>
      <c r="Q31" s="19">
        <v>719</v>
      </c>
      <c r="R31" s="19">
        <f t="shared" si="1"/>
        <v>8628</v>
      </c>
      <c r="S31" s="19"/>
      <c r="T31" s="19">
        <f t="shared" si="2"/>
        <v>840</v>
      </c>
      <c r="U31" s="19">
        <v>43</v>
      </c>
      <c r="V31" s="19">
        <f t="shared" si="3"/>
        <v>883</v>
      </c>
      <c r="W31" s="19"/>
      <c r="X31" s="19">
        <v>200</v>
      </c>
      <c r="Y31" s="19">
        <f t="shared" si="4"/>
        <v>862.80000000000007</v>
      </c>
      <c r="Z31" s="19">
        <f t="shared" si="5"/>
        <v>862.80000000000007</v>
      </c>
      <c r="AA31" s="19">
        <f t="shared" si="6"/>
        <v>1925.6000000000001</v>
      </c>
      <c r="AB31" s="19"/>
      <c r="AC31" s="19">
        <f t="shared" si="7"/>
        <v>5819.4</v>
      </c>
      <c r="AD31" s="19"/>
      <c r="AE31" s="19">
        <f t="shared" si="8"/>
        <v>4273.3537257250418</v>
      </c>
      <c r="AF31" s="33"/>
      <c r="AG31" s="34">
        <f t="shared" si="9"/>
        <v>8628</v>
      </c>
      <c r="AH31" s="34">
        <f t="shared" si="10"/>
        <v>7765.2</v>
      </c>
      <c r="AI31" s="35">
        <f t="shared" si="11"/>
        <v>0.44967885878985192</v>
      </c>
      <c r="AJ31" s="34">
        <f t="shared" si="12"/>
        <v>3691.4137257250418</v>
      </c>
      <c r="AK31" s="34">
        <f t="shared" si="13"/>
        <v>3469.9289021815393</v>
      </c>
      <c r="AL31" s="36">
        <f t="shared" si="14"/>
        <v>0.57832148369692327</v>
      </c>
      <c r="AM31" s="36">
        <f t="shared" si="15"/>
        <v>0.19397999999999999</v>
      </c>
      <c r="AN31" s="36">
        <f t="shared" si="16"/>
        <v>0.71222562095417363</v>
      </c>
      <c r="AO31" s="37">
        <f t="shared" si="17"/>
        <v>3.7640529244372694</v>
      </c>
      <c r="AP31" s="38">
        <f t="shared" si="18"/>
        <v>0.43636363636363634</v>
      </c>
      <c r="AQ31" s="38">
        <f t="shared" si="19"/>
        <v>0.56363636363636371</v>
      </c>
      <c r="AR31" s="34">
        <f t="shared" si="20"/>
        <v>31000.000000000004</v>
      </c>
      <c r="AS31" s="39" t="b">
        <f t="shared" si="25"/>
        <v>1</v>
      </c>
      <c r="AT31" s="40">
        <v>40416</v>
      </c>
    </row>
    <row r="32" spans="1:46" s="4" customFormat="1">
      <c r="A32" s="3" t="s">
        <v>62</v>
      </c>
      <c r="B32" s="4" t="s">
        <v>38</v>
      </c>
      <c r="C32" s="4" t="s">
        <v>68</v>
      </c>
      <c r="D32" s="4">
        <v>29730</v>
      </c>
      <c r="E32" s="4">
        <v>2047469</v>
      </c>
      <c r="G32" s="19">
        <v>45900</v>
      </c>
      <c r="H32" s="19">
        <v>63500</v>
      </c>
      <c r="I32" s="19">
        <f t="shared" si="21"/>
        <v>39015</v>
      </c>
      <c r="J32" s="19">
        <v>38000</v>
      </c>
      <c r="K32" s="11">
        <f t="shared" ca="1" si="22"/>
        <v>675</v>
      </c>
      <c r="L32" s="4">
        <v>4</v>
      </c>
      <c r="M32" s="4">
        <v>2</v>
      </c>
      <c r="N32" s="19">
        <f t="shared" si="23"/>
        <v>7600</v>
      </c>
      <c r="O32" s="19">
        <f t="shared" si="0"/>
        <v>30400</v>
      </c>
      <c r="P32" s="19">
        <f t="shared" si="24"/>
        <v>163.19377339568999</v>
      </c>
      <c r="Q32" s="19">
        <v>1167</v>
      </c>
      <c r="R32" s="19">
        <f t="shared" si="1"/>
        <v>14004</v>
      </c>
      <c r="S32" s="19"/>
      <c r="T32" s="19">
        <f t="shared" si="2"/>
        <v>840</v>
      </c>
      <c r="U32" s="19">
        <v>1446</v>
      </c>
      <c r="V32" s="19">
        <f t="shared" si="3"/>
        <v>2286</v>
      </c>
      <c r="W32" s="19"/>
      <c r="X32" s="19">
        <v>200</v>
      </c>
      <c r="Y32" s="19">
        <f t="shared" si="4"/>
        <v>1400.4</v>
      </c>
      <c r="Z32" s="19">
        <f t="shared" si="5"/>
        <v>1400.4</v>
      </c>
      <c r="AA32" s="19">
        <f t="shared" si="6"/>
        <v>3000.8</v>
      </c>
      <c r="AB32" s="19"/>
      <c r="AC32" s="19">
        <f t="shared" si="7"/>
        <v>8717.2000000000007</v>
      </c>
      <c r="AD32" s="19"/>
      <c r="AE32" s="19">
        <f t="shared" si="8"/>
        <v>6758.8747192517203</v>
      </c>
      <c r="AF32" s="33"/>
      <c r="AG32" s="34">
        <f t="shared" si="9"/>
        <v>14004</v>
      </c>
      <c r="AH32" s="34">
        <f t="shared" si="10"/>
        <v>12603.6</v>
      </c>
      <c r="AI32" s="35">
        <f t="shared" si="11"/>
        <v>0.46373459017647972</v>
      </c>
      <c r="AJ32" s="34">
        <f t="shared" si="12"/>
        <v>5887.1547192517201</v>
      </c>
      <c r="AK32" s="34">
        <f t="shared" si="13"/>
        <v>5533.925436096617</v>
      </c>
      <c r="AL32" s="36">
        <f t="shared" si="14"/>
        <v>0.7281480836969233</v>
      </c>
      <c r="AM32" s="36">
        <f t="shared" si="15"/>
        <v>0.22940000000000002</v>
      </c>
      <c r="AN32" s="36">
        <f t="shared" si="16"/>
        <v>0.88932562095417356</v>
      </c>
      <c r="AO32" s="37">
        <f t="shared" si="17"/>
        <v>4.4513544739968536</v>
      </c>
      <c r="AP32" s="38">
        <f t="shared" si="18"/>
        <v>0.47874015748031495</v>
      </c>
      <c r="AQ32" s="38">
        <f t="shared" si="19"/>
        <v>0.52125984251968505</v>
      </c>
      <c r="AR32" s="34">
        <f t="shared" si="20"/>
        <v>33100</v>
      </c>
      <c r="AS32" s="39" t="b">
        <f t="shared" si="25"/>
        <v>1</v>
      </c>
      <c r="AT32" s="40">
        <v>40379</v>
      </c>
    </row>
    <row r="33" spans="1:46" s="4" customFormat="1">
      <c r="A33" s="3" t="s">
        <v>63</v>
      </c>
      <c r="B33" s="4" t="s">
        <v>38</v>
      </c>
      <c r="C33" s="4" t="s">
        <v>68</v>
      </c>
      <c r="D33" s="4">
        <v>29730</v>
      </c>
      <c r="E33" s="4">
        <v>2033305</v>
      </c>
      <c r="G33" s="19">
        <v>52000</v>
      </c>
      <c r="H33" s="19">
        <v>67000</v>
      </c>
      <c r="I33" s="19">
        <f t="shared" si="21"/>
        <v>44200</v>
      </c>
      <c r="J33" s="19">
        <v>45000</v>
      </c>
      <c r="K33" s="11">
        <f t="shared" ca="1" si="22"/>
        <v>300</v>
      </c>
      <c r="L33" s="4">
        <v>3</v>
      </c>
      <c r="M33" s="4">
        <v>2</v>
      </c>
      <c r="N33" s="19">
        <f t="shared" si="23"/>
        <v>9000</v>
      </c>
      <c r="O33" s="19">
        <f t="shared" si="0"/>
        <v>36000</v>
      </c>
      <c r="P33" s="19">
        <f t="shared" si="24"/>
        <v>193.25578428436975</v>
      </c>
      <c r="Q33" s="19">
        <v>997</v>
      </c>
      <c r="R33" s="19">
        <f t="shared" si="1"/>
        <v>11964</v>
      </c>
      <c r="S33" s="19"/>
      <c r="T33" s="19">
        <f t="shared" si="2"/>
        <v>840</v>
      </c>
      <c r="U33" s="19">
        <v>1526</v>
      </c>
      <c r="V33" s="19">
        <f t="shared" si="3"/>
        <v>2366</v>
      </c>
      <c r="W33" s="19"/>
      <c r="X33" s="19">
        <v>200</v>
      </c>
      <c r="Y33" s="19">
        <f t="shared" si="4"/>
        <v>1196.4000000000001</v>
      </c>
      <c r="Z33" s="19">
        <f t="shared" si="5"/>
        <v>1196.4000000000001</v>
      </c>
      <c r="AA33" s="19">
        <f t="shared" si="6"/>
        <v>2592.8000000000002</v>
      </c>
      <c r="AB33" s="19"/>
      <c r="AC33" s="19">
        <f t="shared" si="7"/>
        <v>7005.2</v>
      </c>
      <c r="AD33" s="19"/>
      <c r="AE33" s="19">
        <f t="shared" si="8"/>
        <v>4686.1305885875627</v>
      </c>
      <c r="AF33" s="33"/>
      <c r="AG33" s="34">
        <f t="shared" si="9"/>
        <v>11964</v>
      </c>
      <c r="AH33" s="34">
        <f t="shared" si="10"/>
        <v>10767.6</v>
      </c>
      <c r="AI33" s="35">
        <f t="shared" si="11"/>
        <v>0.56479339977454934</v>
      </c>
      <c r="AJ33" s="34">
        <f t="shared" si="12"/>
        <v>3985.6105885875627</v>
      </c>
      <c r="AK33" s="34">
        <f t="shared" si="13"/>
        <v>3746.4739532723088</v>
      </c>
      <c r="AL33" s="36">
        <f t="shared" si="14"/>
        <v>0.41627488369692323</v>
      </c>
      <c r="AM33" s="36">
        <f t="shared" si="15"/>
        <v>0.15567111111111109</v>
      </c>
      <c r="AN33" s="36">
        <f t="shared" si="16"/>
        <v>0.52068117650972912</v>
      </c>
      <c r="AO33" s="37">
        <f t="shared" si="17"/>
        <v>3.020694406785116</v>
      </c>
      <c r="AP33" s="38">
        <f t="shared" si="18"/>
        <v>0.53731343283582089</v>
      </c>
      <c r="AQ33" s="38">
        <f t="shared" si="19"/>
        <v>0.46268656716417911</v>
      </c>
      <c r="AR33" s="34">
        <f t="shared" si="20"/>
        <v>31000</v>
      </c>
      <c r="AS33" s="39" t="b">
        <f t="shared" si="25"/>
        <v>1</v>
      </c>
      <c r="AT33" s="40">
        <v>40754</v>
      </c>
    </row>
    <row r="34" spans="1:46" s="4" customFormat="1">
      <c r="A34" s="3" t="s">
        <v>64</v>
      </c>
      <c r="B34" s="4" t="s">
        <v>38</v>
      </c>
      <c r="C34" s="4" t="s">
        <v>68</v>
      </c>
      <c r="D34" s="4">
        <v>29730</v>
      </c>
      <c r="E34" s="4" t="s">
        <v>80</v>
      </c>
      <c r="G34" s="19">
        <v>38250</v>
      </c>
      <c r="H34" s="19">
        <v>48000</v>
      </c>
      <c r="I34" s="19">
        <f t="shared" si="21"/>
        <v>32512.5</v>
      </c>
      <c r="J34" s="19">
        <v>32000</v>
      </c>
      <c r="K34" s="11">
        <f t="shared" ca="1" si="22"/>
        <v>65</v>
      </c>
      <c r="L34" s="4">
        <v>3</v>
      </c>
      <c r="M34" s="4">
        <v>1</v>
      </c>
      <c r="N34" s="19">
        <f t="shared" si="23"/>
        <v>6400</v>
      </c>
      <c r="O34" s="19">
        <f t="shared" si="0"/>
        <v>25600</v>
      </c>
      <c r="P34" s="19">
        <f t="shared" si="24"/>
        <v>137.42633549110735</v>
      </c>
      <c r="Q34" s="19">
        <v>495</v>
      </c>
      <c r="R34" s="19">
        <f t="shared" si="1"/>
        <v>5940</v>
      </c>
      <c r="S34" s="19"/>
      <c r="T34" s="19">
        <f t="shared" si="2"/>
        <v>840</v>
      </c>
      <c r="U34" s="19">
        <v>1093</v>
      </c>
      <c r="V34" s="19">
        <f t="shared" si="3"/>
        <v>1933</v>
      </c>
      <c r="W34" s="19"/>
      <c r="X34" s="19">
        <v>200</v>
      </c>
      <c r="Y34" s="19">
        <f t="shared" si="4"/>
        <v>594</v>
      </c>
      <c r="Z34" s="19">
        <f t="shared" si="5"/>
        <v>594</v>
      </c>
      <c r="AA34" s="19">
        <f t="shared" si="6"/>
        <v>1388</v>
      </c>
      <c r="AB34" s="19"/>
      <c r="AC34" s="19">
        <f t="shared" si="7"/>
        <v>2619</v>
      </c>
      <c r="AD34" s="19"/>
      <c r="AE34" s="19">
        <f t="shared" si="8"/>
        <v>969.88397410671178</v>
      </c>
      <c r="AF34" s="33"/>
      <c r="AG34" s="34">
        <f t="shared" si="9"/>
        <v>5940</v>
      </c>
      <c r="AH34" s="34">
        <f t="shared" si="10"/>
        <v>5346</v>
      </c>
      <c r="AI34" s="35">
        <f t="shared" si="11"/>
        <v>0.81857763297667208</v>
      </c>
      <c r="AJ34" s="34">
        <f t="shared" si="12"/>
        <v>707.98397410671168</v>
      </c>
      <c r="AK34" s="34">
        <f t="shared" si="13"/>
        <v>665.504935660309</v>
      </c>
      <c r="AL34" s="36">
        <f t="shared" si="14"/>
        <v>0.10398514619692328</v>
      </c>
      <c r="AM34" s="36">
        <f t="shared" si="15"/>
        <v>8.1843750000000007E-2</v>
      </c>
      <c r="AN34" s="36">
        <f t="shared" si="16"/>
        <v>0.15154437095417364</v>
      </c>
      <c r="AO34" s="37">
        <f t="shared" si="17"/>
        <v>1.5881235515744552</v>
      </c>
      <c r="AP34" s="38">
        <f t="shared" si="18"/>
        <v>0.53333333333333333</v>
      </c>
      <c r="AQ34" s="38">
        <f t="shared" si="19"/>
        <v>0.46666666666666667</v>
      </c>
      <c r="AR34" s="34">
        <f t="shared" si="20"/>
        <v>22400</v>
      </c>
      <c r="AS34" s="39" t="b">
        <f t="shared" si="25"/>
        <v>0</v>
      </c>
      <c r="AT34" s="40">
        <v>40989</v>
      </c>
    </row>
    <row r="35" spans="1:46" s="4" customFormat="1">
      <c r="A35" s="3" t="s">
        <v>65</v>
      </c>
      <c r="B35" s="4" t="s">
        <v>38</v>
      </c>
      <c r="C35" s="4" t="s">
        <v>68</v>
      </c>
      <c r="D35" s="4">
        <v>29730</v>
      </c>
      <c r="E35" s="4">
        <v>1080211</v>
      </c>
      <c r="G35" s="19">
        <v>47900</v>
      </c>
      <c r="H35" s="19">
        <v>35600</v>
      </c>
      <c r="I35" s="19">
        <f t="shared" si="21"/>
        <v>40715</v>
      </c>
      <c r="J35" s="19">
        <v>35000</v>
      </c>
      <c r="K35" s="11">
        <f t="shared" ca="1" si="22"/>
        <v>73</v>
      </c>
      <c r="L35" s="4">
        <v>2</v>
      </c>
      <c r="M35" s="4">
        <v>1</v>
      </c>
      <c r="N35" s="19">
        <f t="shared" si="23"/>
        <v>7000</v>
      </c>
      <c r="O35" s="19">
        <f t="shared" si="0"/>
        <v>28000</v>
      </c>
      <c r="P35" s="19">
        <f t="shared" si="24"/>
        <v>150.31005444339868</v>
      </c>
      <c r="Q35" s="19">
        <v>719</v>
      </c>
      <c r="R35" s="19">
        <f t="shared" si="1"/>
        <v>8628</v>
      </c>
      <c r="S35" s="19"/>
      <c r="T35" s="19">
        <f t="shared" si="2"/>
        <v>840</v>
      </c>
      <c r="U35" s="19">
        <v>811</v>
      </c>
      <c r="V35" s="19">
        <f t="shared" si="3"/>
        <v>1651</v>
      </c>
      <c r="W35" s="19"/>
      <c r="X35" s="19">
        <v>200</v>
      </c>
      <c r="Y35" s="19">
        <f t="shared" si="4"/>
        <v>862.80000000000007</v>
      </c>
      <c r="Z35" s="19">
        <f t="shared" si="5"/>
        <v>862.80000000000007</v>
      </c>
      <c r="AA35" s="19">
        <f t="shared" si="6"/>
        <v>1925.6000000000001</v>
      </c>
      <c r="AB35" s="19"/>
      <c r="AC35" s="19">
        <f t="shared" si="7"/>
        <v>5051.3999999999996</v>
      </c>
      <c r="AD35" s="19"/>
      <c r="AE35" s="19">
        <f t="shared" si="8"/>
        <v>3247.6793466792155</v>
      </c>
      <c r="AF35" s="33"/>
      <c r="AG35" s="34">
        <f t="shared" si="9"/>
        <v>8628</v>
      </c>
      <c r="AH35" s="34">
        <f t="shared" si="10"/>
        <v>7765.2</v>
      </c>
      <c r="AI35" s="35">
        <f t="shared" si="11"/>
        <v>0.58176488092010303</v>
      </c>
      <c r="AJ35" s="34">
        <f t="shared" si="12"/>
        <v>2742.5393466792157</v>
      </c>
      <c r="AK35" s="34">
        <f t="shared" si="13"/>
        <v>2577.9869858784627</v>
      </c>
      <c r="AL35" s="36">
        <f t="shared" si="14"/>
        <v>0.36828385512549466</v>
      </c>
      <c r="AM35" s="36">
        <f t="shared" si="15"/>
        <v>0.14432571428571428</v>
      </c>
      <c r="AN35" s="36">
        <f t="shared" si="16"/>
        <v>0.46395419238274499</v>
      </c>
      <c r="AO35" s="37">
        <f t="shared" si="17"/>
        <v>2.8005445248409147</v>
      </c>
      <c r="AP35" s="38">
        <f t="shared" si="18"/>
        <v>0.7865168539325843</v>
      </c>
      <c r="AQ35" s="38">
        <f t="shared" si="19"/>
        <v>0.2134831460674157</v>
      </c>
      <c r="AR35" s="34">
        <f t="shared" si="20"/>
        <v>7599.9999999999991</v>
      </c>
      <c r="AS35" s="39" t="b">
        <f t="shared" si="25"/>
        <v>1</v>
      </c>
      <c r="AT35" s="40">
        <v>40981</v>
      </c>
    </row>
    <row r="36" spans="1:46" s="4" customFormat="1">
      <c r="A36" s="3" t="s">
        <v>66</v>
      </c>
      <c r="B36" s="4" t="s">
        <v>38</v>
      </c>
      <c r="C36" s="4" t="s">
        <v>68</v>
      </c>
      <c r="D36" s="4">
        <v>29730</v>
      </c>
      <c r="E36" s="4">
        <v>2063110</v>
      </c>
      <c r="G36" s="19">
        <v>33500</v>
      </c>
      <c r="H36" s="19">
        <v>79500</v>
      </c>
      <c r="I36" s="19">
        <f t="shared" si="21"/>
        <v>28475</v>
      </c>
      <c r="J36" s="19">
        <v>29000</v>
      </c>
      <c r="K36" s="11">
        <f t="shared" ca="1" si="22"/>
        <v>178</v>
      </c>
      <c r="L36" s="4">
        <v>3</v>
      </c>
      <c r="M36" s="4">
        <v>2</v>
      </c>
      <c r="N36" s="19">
        <f t="shared" si="23"/>
        <v>5800</v>
      </c>
      <c r="O36" s="19">
        <f t="shared" si="0"/>
        <v>23200</v>
      </c>
      <c r="P36" s="19">
        <f t="shared" si="24"/>
        <v>124.54261653881606</v>
      </c>
      <c r="Q36" s="19">
        <v>997</v>
      </c>
      <c r="R36" s="19">
        <f t="shared" si="1"/>
        <v>11964</v>
      </c>
      <c r="S36" s="19"/>
      <c r="T36" s="19">
        <f t="shared" si="2"/>
        <v>840</v>
      </c>
      <c r="U36" s="19">
        <v>1810</v>
      </c>
      <c r="V36" s="19">
        <f t="shared" si="3"/>
        <v>2650</v>
      </c>
      <c r="W36" s="19"/>
      <c r="X36" s="19">
        <v>200</v>
      </c>
      <c r="Y36" s="19">
        <f t="shared" si="4"/>
        <v>1196.4000000000001</v>
      </c>
      <c r="Z36" s="19">
        <f t="shared" si="5"/>
        <v>1196.4000000000001</v>
      </c>
      <c r="AA36" s="19">
        <f t="shared" si="6"/>
        <v>2592.8000000000002</v>
      </c>
      <c r="AB36" s="19"/>
      <c r="AC36" s="19">
        <f t="shared" si="7"/>
        <v>6721.2</v>
      </c>
      <c r="AD36" s="19"/>
      <c r="AE36" s="19">
        <f t="shared" si="8"/>
        <v>5226.688601534207</v>
      </c>
      <c r="AF36" s="33"/>
      <c r="AG36" s="34">
        <f t="shared" si="9"/>
        <v>11964</v>
      </c>
      <c r="AH36" s="34">
        <f t="shared" si="10"/>
        <v>10767.6</v>
      </c>
      <c r="AI36" s="35">
        <f t="shared" si="11"/>
        <v>0.51459112508505078</v>
      </c>
      <c r="AJ36" s="34">
        <f t="shared" si="12"/>
        <v>4554.5686015342071</v>
      </c>
      <c r="AK36" s="34">
        <f t="shared" si="13"/>
        <v>4281.2944854421548</v>
      </c>
      <c r="AL36" s="36">
        <f t="shared" si="14"/>
        <v>0.73815422162795774</v>
      </c>
      <c r="AM36" s="36">
        <f t="shared" si="15"/>
        <v>0.23176551724137931</v>
      </c>
      <c r="AN36" s="36">
        <f t="shared" si="16"/>
        <v>0.90115320716107017</v>
      </c>
      <c r="AO36" s="37">
        <f t="shared" si="17"/>
        <v>4.4972557632546142</v>
      </c>
      <c r="AP36" s="38">
        <f t="shared" si="18"/>
        <v>0.29182389937106917</v>
      </c>
      <c r="AQ36" s="38">
        <f t="shared" si="19"/>
        <v>0.70817610062893088</v>
      </c>
      <c r="AR36" s="34">
        <f t="shared" si="20"/>
        <v>56300.000000000007</v>
      </c>
      <c r="AS36" s="39" t="b">
        <f t="shared" si="25"/>
        <v>1</v>
      </c>
      <c r="AT36" s="40">
        <v>40876</v>
      </c>
    </row>
    <row r="37" spans="1:46" s="4" customFormat="1">
      <c r="A37" s="3" t="s">
        <v>76</v>
      </c>
      <c r="B37" s="4" t="s">
        <v>67</v>
      </c>
      <c r="C37" s="4" t="s">
        <v>68</v>
      </c>
      <c r="D37" s="4">
        <v>29732</v>
      </c>
      <c r="E37" s="4">
        <v>2042275</v>
      </c>
      <c r="F37" s="19">
        <v>35003</v>
      </c>
      <c r="G37" s="19">
        <v>54900</v>
      </c>
      <c r="H37" s="19">
        <v>67000</v>
      </c>
      <c r="I37" s="19">
        <f t="shared" ref="I37" si="26">G37*0.85</f>
        <v>46665</v>
      </c>
      <c r="J37" s="19">
        <v>50000</v>
      </c>
      <c r="K37" s="11">
        <f t="shared" ref="K37" ca="1" si="27">TODAY()-AT37</f>
        <v>255</v>
      </c>
      <c r="L37" s="4">
        <v>2</v>
      </c>
      <c r="M37" s="4">
        <v>2</v>
      </c>
      <c r="N37" s="19">
        <f t="shared" si="23"/>
        <v>10000</v>
      </c>
      <c r="O37" s="19">
        <f t="shared" ref="O37" si="28">J37-N37</f>
        <v>40000</v>
      </c>
      <c r="P37" s="19">
        <f t="shared" si="24"/>
        <v>214.72864920485526</v>
      </c>
      <c r="Q37" s="19">
        <v>719</v>
      </c>
      <c r="R37" s="19">
        <f t="shared" ref="R37" si="29">Q37*12</f>
        <v>8628</v>
      </c>
      <c r="S37" s="19"/>
      <c r="T37" s="19">
        <f t="shared" si="2"/>
        <v>840</v>
      </c>
      <c r="U37" s="19">
        <v>1525</v>
      </c>
      <c r="V37" s="19">
        <f t="shared" ref="V37" si="30">U37+T37</f>
        <v>2365</v>
      </c>
      <c r="W37" s="19">
        <v>203</v>
      </c>
      <c r="X37" s="19">
        <v>200</v>
      </c>
      <c r="Y37" s="19">
        <f t="shared" si="4"/>
        <v>862.80000000000007</v>
      </c>
      <c r="Z37" s="19">
        <f t="shared" si="5"/>
        <v>862.80000000000007</v>
      </c>
      <c r="AA37" s="19">
        <f>Z37+Y37+X37</f>
        <v>1925.6000000000001</v>
      </c>
      <c r="AB37" s="19"/>
      <c r="AC37" s="19">
        <f t="shared" ref="AC37" si="31">R37-V37-AA37</f>
        <v>4337.3999999999996</v>
      </c>
      <c r="AD37" s="19"/>
      <c r="AE37" s="19">
        <f t="shared" ref="AE37" si="32">AC37-(P37*12)</f>
        <v>1760.6562095417366</v>
      </c>
      <c r="AF37" s="19"/>
      <c r="AG37" s="34">
        <f t="shared" ref="AG37" si="33">R37</f>
        <v>8628</v>
      </c>
      <c r="AH37" s="34">
        <f t="shared" ref="AH37" si="34">AG37-Z37</f>
        <v>7765.2</v>
      </c>
      <c r="AI37" s="35">
        <f t="shared" ref="AI37" si="35">(Y37+X37+V37+(P37*12))/AH37</f>
        <v>0.77326325020067266</v>
      </c>
      <c r="AJ37" s="34">
        <f t="shared" ref="AJ37" si="36">AC37-(P37*12)-(AC37*0.1)</f>
        <v>1326.9162095417366</v>
      </c>
      <c r="AK37" s="34">
        <f t="shared" ref="AK37" si="37">AJ37-(AJ37*0.06)</f>
        <v>1247.3012369692324</v>
      </c>
      <c r="AL37" s="36">
        <f t="shared" ref="AL37" si="38">AK37/N37</f>
        <v>0.12473012369692324</v>
      </c>
      <c r="AM37" s="36">
        <f t="shared" ref="AM37" si="39">AC37/J37</f>
        <v>8.6747999999999992E-2</v>
      </c>
      <c r="AN37" s="36">
        <f t="shared" ref="AN37" si="40">(R37-(P37*12)-V37-AA37)/N37</f>
        <v>0.17606562095417369</v>
      </c>
      <c r="AO37" s="37">
        <f t="shared" ref="AO37" si="41">AC37/(P37*12)</f>
        <v>1.6832872620326025</v>
      </c>
      <c r="AP37" s="38">
        <f t="shared" ref="AP37" si="42">(O37/H37)</f>
        <v>0.59701492537313428</v>
      </c>
      <c r="AQ37" s="38">
        <f t="shared" ref="AQ37" si="43">100%-AP37</f>
        <v>0.40298507462686572</v>
      </c>
      <c r="AR37" s="34">
        <f t="shared" ref="AR37" si="44">AQ37*H37</f>
        <v>27000.000000000004</v>
      </c>
      <c r="AS37" s="39" t="b">
        <f t="shared" si="25"/>
        <v>0</v>
      </c>
      <c r="AT37" s="40">
        <v>40799</v>
      </c>
    </row>
    <row r="38" spans="1:46" s="4" customFormat="1">
      <c r="A38" s="3" t="s">
        <v>77</v>
      </c>
      <c r="B38" s="4" t="s">
        <v>67</v>
      </c>
      <c r="C38" s="4" t="s">
        <v>68</v>
      </c>
      <c r="D38" s="4">
        <v>29730</v>
      </c>
      <c r="E38" s="4">
        <v>1080497</v>
      </c>
      <c r="F38" s="19">
        <v>35004</v>
      </c>
      <c r="G38" s="19">
        <v>44900</v>
      </c>
      <c r="H38" s="19">
        <v>83300</v>
      </c>
      <c r="I38" s="19">
        <f t="shared" ref="I38" si="45">G38*0.85</f>
        <v>38165</v>
      </c>
      <c r="J38" s="19">
        <v>41000</v>
      </c>
      <c r="K38" s="11">
        <f t="shared" ref="K38" ca="1" si="46">TODAY()-AT38</f>
        <v>57</v>
      </c>
      <c r="L38" s="4">
        <v>3</v>
      </c>
      <c r="M38" s="4">
        <v>2</v>
      </c>
      <c r="N38" s="19">
        <f t="shared" si="23"/>
        <v>8200</v>
      </c>
      <c r="O38" s="19">
        <f t="shared" ref="O38" si="47">J38-N38</f>
        <v>32800</v>
      </c>
      <c r="P38" s="19">
        <f t="shared" si="24"/>
        <v>176.07749234798132</v>
      </c>
      <c r="Q38" s="19">
        <v>997</v>
      </c>
      <c r="R38" s="19">
        <f t="shared" ref="R38" si="48">Q38*12</f>
        <v>11964</v>
      </c>
      <c r="S38" s="19"/>
      <c r="T38" s="19">
        <f t="shared" si="2"/>
        <v>840</v>
      </c>
      <c r="U38" s="19">
        <v>1896</v>
      </c>
      <c r="V38" s="19">
        <f t="shared" ref="V38" si="49">U38+T38</f>
        <v>2736</v>
      </c>
      <c r="W38" s="19">
        <v>204</v>
      </c>
      <c r="X38" s="19">
        <v>200</v>
      </c>
      <c r="Y38" s="19">
        <f t="shared" si="4"/>
        <v>1196.4000000000001</v>
      </c>
      <c r="Z38" s="19">
        <f t="shared" si="5"/>
        <v>1196.4000000000001</v>
      </c>
      <c r="AA38" s="19">
        <f t="shared" ref="AA38" si="50">Z38+Y38+X38</f>
        <v>2592.8000000000002</v>
      </c>
      <c r="AB38" s="19"/>
      <c r="AC38" s="19">
        <f t="shared" ref="AC38" si="51">R38-V38-AA38</f>
        <v>6635.2</v>
      </c>
      <c r="AD38" s="19"/>
      <c r="AE38" s="19">
        <f t="shared" ref="AE38" si="52">AC38-(P38*12)</f>
        <v>4522.2700918242244</v>
      </c>
      <c r="AF38" s="19"/>
      <c r="AG38" s="34">
        <f t="shared" ref="AG38" si="53">R38</f>
        <v>11964</v>
      </c>
      <c r="AH38" s="34">
        <f t="shared" ref="AH38" si="54">AG38-Z38</f>
        <v>10767.6</v>
      </c>
      <c r="AI38" s="35">
        <f t="shared" ref="AI38" si="55">(Y38+X38+V38+(P38*12))/AH38</f>
        <v>0.58001132175933134</v>
      </c>
      <c r="AJ38" s="34">
        <f t="shared" ref="AJ38" si="56">AC38-(P38*12)-(AC38*0.1)</f>
        <v>3858.7500918242245</v>
      </c>
      <c r="AK38" s="34">
        <f t="shared" ref="AK38" si="57">AJ38-(AJ38*0.06)</f>
        <v>3627.225086314771</v>
      </c>
      <c r="AL38" s="36">
        <f t="shared" ref="AL38" si="58">AK38/N38</f>
        <v>0.44234452272131353</v>
      </c>
      <c r="AM38" s="36">
        <f t="shared" ref="AM38" si="59">AC38/J38</f>
        <v>0.1618341463414634</v>
      </c>
      <c r="AN38" s="36">
        <f t="shared" ref="AN38" si="60">(R38-(P38*12)-V38-AA38)/N38</f>
        <v>0.55149635266149066</v>
      </c>
      <c r="AO38" s="37">
        <f t="shared" ref="AO38" si="61">AC38/(P38*12)</f>
        <v>3.1402840076832375</v>
      </c>
      <c r="AP38" s="38">
        <f t="shared" ref="AP38" si="62">(O38/H38)</f>
        <v>0.39375750300120049</v>
      </c>
      <c r="AQ38" s="38">
        <f t="shared" ref="AQ38" si="63">100%-AP38</f>
        <v>0.60624249699879951</v>
      </c>
      <c r="AR38" s="34">
        <f t="shared" ref="AR38" si="64">AQ38*H38</f>
        <v>50500</v>
      </c>
      <c r="AS38" s="39" t="b">
        <f t="shared" si="25"/>
        <v>1</v>
      </c>
      <c r="AT38" s="40">
        <v>40997</v>
      </c>
    </row>
    <row r="39" spans="1:46" s="4" customFormat="1">
      <c r="A39" s="3" t="s">
        <v>81</v>
      </c>
      <c r="B39" s="4" t="s">
        <v>67</v>
      </c>
      <c r="C39" s="4" t="s">
        <v>68</v>
      </c>
      <c r="D39" s="4">
        <v>29717</v>
      </c>
      <c r="E39" s="4">
        <v>1079805</v>
      </c>
      <c r="F39" s="19">
        <v>35005</v>
      </c>
      <c r="G39" s="19">
        <v>66000</v>
      </c>
      <c r="H39" s="19">
        <v>67000</v>
      </c>
      <c r="I39" s="19">
        <f t="shared" ref="I39" si="65">G39*0.85</f>
        <v>56100</v>
      </c>
      <c r="J39" s="19">
        <v>57000</v>
      </c>
      <c r="K39" s="11">
        <f t="shared" ref="K39" ca="1" si="66">TODAY()-AT39</f>
        <v>94</v>
      </c>
      <c r="L39" s="4">
        <v>2</v>
      </c>
      <c r="M39" s="4">
        <v>3</v>
      </c>
      <c r="N39" s="19">
        <f t="shared" si="23"/>
        <v>11400</v>
      </c>
      <c r="O39" s="19">
        <f t="shared" ref="O39" si="67">J39-N39</f>
        <v>45600</v>
      </c>
      <c r="P39" s="19">
        <f t="shared" si="24"/>
        <v>244.790660093535</v>
      </c>
      <c r="Q39" s="19">
        <v>997</v>
      </c>
      <c r="R39" s="19">
        <f t="shared" ref="R39" si="68">Q39*12</f>
        <v>11964</v>
      </c>
      <c r="S39" s="19"/>
      <c r="T39" s="19">
        <f t="shared" si="2"/>
        <v>840</v>
      </c>
      <c r="U39" s="19">
        <v>558</v>
      </c>
      <c r="V39" s="19">
        <f t="shared" ref="V39" si="69">U39+T39</f>
        <v>1398</v>
      </c>
      <c r="W39" s="19">
        <v>205</v>
      </c>
      <c r="X39" s="19">
        <v>200</v>
      </c>
      <c r="Y39" s="19">
        <f t="shared" si="4"/>
        <v>1196.4000000000001</v>
      </c>
      <c r="Z39" s="19">
        <f t="shared" si="5"/>
        <v>1196.4000000000001</v>
      </c>
      <c r="AA39" s="19">
        <f t="shared" ref="AA39" si="70">Z39+Y39+X39</f>
        <v>2592.8000000000002</v>
      </c>
      <c r="AB39" s="19"/>
      <c r="AC39" s="19">
        <f t="shared" ref="AC39" si="71">R39-V39-AA39</f>
        <v>7973.2</v>
      </c>
      <c r="AD39" s="19"/>
      <c r="AE39" s="19">
        <f t="shared" ref="AE39" si="72">AC39-(P39*12)</f>
        <v>5035.7120788775801</v>
      </c>
      <c r="AF39" s="19"/>
      <c r="AG39" s="34">
        <f t="shared" ref="AG39" si="73">R39</f>
        <v>11964</v>
      </c>
      <c r="AH39" s="34">
        <f t="shared" ref="AH39" si="74">AG39-Z39</f>
        <v>10767.6</v>
      </c>
      <c r="AI39" s="35">
        <f t="shared" ref="AI39" si="75">(Y39+X39+V39+(P39*12))/AH39</f>
        <v>0.53232734510219726</v>
      </c>
      <c r="AJ39" s="34">
        <f t="shared" ref="AJ39" si="76">AC39-(P39*12)-(AC39*0.1)</f>
        <v>4238.3920788775804</v>
      </c>
      <c r="AK39" s="34">
        <f t="shared" ref="AK39" si="77">AJ39-(AJ39*0.06)</f>
        <v>3984.0885541449256</v>
      </c>
      <c r="AL39" s="36">
        <f t="shared" ref="AL39" si="78">AK39/N39</f>
        <v>0.34948145211797593</v>
      </c>
      <c r="AM39" s="36">
        <f t="shared" ref="AM39" si="79">AC39/J39</f>
        <v>0.13988070175438597</v>
      </c>
      <c r="AN39" s="36">
        <f t="shared" ref="AN39" si="80">(R39-(P39*12)-V39-AA39)/N39</f>
        <v>0.44172912972610351</v>
      </c>
      <c r="AO39" s="37">
        <f t="shared" ref="AO39" si="81">AC39/(P39*12)</f>
        <v>2.7142920121194658</v>
      </c>
      <c r="AP39" s="38">
        <f t="shared" ref="AP39" si="82">(O39/H39)</f>
        <v>0.68059701492537317</v>
      </c>
      <c r="AQ39" s="38">
        <f t="shared" ref="AQ39" si="83">100%-AP39</f>
        <v>0.31940298507462683</v>
      </c>
      <c r="AR39" s="34">
        <f t="shared" ref="AR39" si="84">AQ39*H39</f>
        <v>21399.999999999996</v>
      </c>
      <c r="AS39" s="39" t="b">
        <f t="shared" si="25"/>
        <v>1</v>
      </c>
      <c r="AT39" s="40">
        <v>40960</v>
      </c>
    </row>
    <row r="40" spans="1:46" s="4" customFormat="1">
      <c r="A40" s="3" t="s">
        <v>82</v>
      </c>
      <c r="B40" s="4" t="s">
        <v>83</v>
      </c>
      <c r="C40" s="4" t="s">
        <v>68</v>
      </c>
      <c r="D40" s="4">
        <v>29745</v>
      </c>
      <c r="E40" s="4">
        <v>1077561</v>
      </c>
      <c r="F40" s="19">
        <v>35006</v>
      </c>
      <c r="G40" s="19">
        <v>66950</v>
      </c>
      <c r="H40" s="19">
        <v>62000</v>
      </c>
      <c r="I40" s="19">
        <f t="shared" ref="I40" si="85">G40*0.85</f>
        <v>56907.5</v>
      </c>
      <c r="J40" s="19">
        <v>58000</v>
      </c>
      <c r="K40" s="11">
        <f t="shared" ref="K40" ca="1" si="86">TODAY()-AT40</f>
        <v>79</v>
      </c>
      <c r="L40" s="4">
        <v>3</v>
      </c>
      <c r="M40" s="4">
        <v>1</v>
      </c>
      <c r="N40" s="19">
        <f t="shared" si="23"/>
        <v>11600</v>
      </c>
      <c r="O40" s="19">
        <f t="shared" ref="O40" si="87">J40-N40</f>
        <v>46400</v>
      </c>
      <c r="P40" s="19">
        <f t="shared" si="24"/>
        <v>249.08523307763213</v>
      </c>
      <c r="Q40" s="19">
        <v>997</v>
      </c>
      <c r="R40" s="19">
        <f t="shared" ref="R40" si="88">Q40*12</f>
        <v>11964</v>
      </c>
      <c r="S40" s="19"/>
      <c r="T40" s="19">
        <f t="shared" si="2"/>
        <v>840</v>
      </c>
      <c r="U40" s="19">
        <v>1675</v>
      </c>
      <c r="V40" s="19">
        <f t="shared" ref="V40" si="89">U40+T40</f>
        <v>2515</v>
      </c>
      <c r="W40" s="19">
        <v>206</v>
      </c>
      <c r="X40" s="19">
        <v>200</v>
      </c>
      <c r="Y40" s="19">
        <f t="shared" si="4"/>
        <v>1196.4000000000001</v>
      </c>
      <c r="Z40" s="19">
        <f t="shared" si="5"/>
        <v>1196.4000000000001</v>
      </c>
      <c r="AA40" s="19">
        <f t="shared" ref="AA40" si="90">Z40+Y40+X40</f>
        <v>2592.8000000000002</v>
      </c>
      <c r="AB40" s="19"/>
      <c r="AC40" s="19">
        <f t="shared" ref="AC40" si="91">R40-V40-AA40</f>
        <v>6856.2</v>
      </c>
      <c r="AD40" s="19"/>
      <c r="AE40" s="19">
        <f t="shared" ref="AE40" si="92">AC40-(P40*12)</f>
        <v>3867.1772030684142</v>
      </c>
      <c r="AF40" s="19"/>
      <c r="AG40" s="34">
        <f t="shared" ref="AG40" si="93">R40</f>
        <v>11964</v>
      </c>
      <c r="AH40" s="34">
        <f t="shared" ref="AH40" si="94">AG40-Z40</f>
        <v>10767.6</v>
      </c>
      <c r="AI40" s="35">
        <f t="shared" ref="AI40" si="95">(Y40+X40+V40+(P40*12))/AH40</f>
        <v>0.64085058851847998</v>
      </c>
      <c r="AJ40" s="34">
        <f t="shared" ref="AJ40" si="96">AC40-(P40*12)-(AC40*0.1)</f>
        <v>3181.5572030684143</v>
      </c>
      <c r="AK40" s="34">
        <f t="shared" ref="AK40" si="97">AJ40-(AJ40*0.06)</f>
        <v>2990.6637708843095</v>
      </c>
      <c r="AL40" s="36">
        <f t="shared" ref="AL40" si="98">AK40/N40</f>
        <v>0.2578158423176129</v>
      </c>
      <c r="AM40" s="36">
        <f t="shared" ref="AM40" si="99">AC40/J40</f>
        <v>0.1182103448275862</v>
      </c>
      <c r="AN40" s="36">
        <f t="shared" ref="AN40" si="100">(R40-(P40*12)-V40-AA40)/N40</f>
        <v>0.33337734509210465</v>
      </c>
      <c r="AO40" s="37">
        <f t="shared" ref="AO40" si="101">AC40/(P40*12)</f>
        <v>2.2937931443809352</v>
      </c>
      <c r="AP40" s="38">
        <f t="shared" ref="AP40" si="102">(O40/H40)</f>
        <v>0.74838709677419357</v>
      </c>
      <c r="AQ40" s="38">
        <f t="shared" ref="AQ40" si="103">100%-AP40</f>
        <v>0.25161290322580643</v>
      </c>
      <c r="AR40" s="34">
        <f t="shared" ref="AR40" si="104">AQ40*H40</f>
        <v>15599.999999999998</v>
      </c>
      <c r="AS40" s="39" t="b">
        <f t="shared" si="25"/>
        <v>1</v>
      </c>
      <c r="AT40" s="40">
        <v>40975</v>
      </c>
    </row>
    <row r="41" spans="1:46" s="4" customFormat="1">
      <c r="A41" s="3" t="s">
        <v>84</v>
      </c>
      <c r="B41" s="4" t="s">
        <v>67</v>
      </c>
      <c r="C41" s="4" t="s">
        <v>68</v>
      </c>
      <c r="D41" s="4">
        <v>29730</v>
      </c>
      <c r="E41" s="4">
        <v>2064462</v>
      </c>
      <c r="F41" s="19">
        <v>35007</v>
      </c>
      <c r="G41" s="19">
        <v>64900</v>
      </c>
      <c r="H41" s="19">
        <v>115500</v>
      </c>
      <c r="I41" s="19">
        <f t="shared" ref="I41" si="105">G41*0.85</f>
        <v>55165</v>
      </c>
      <c r="J41" s="19">
        <v>62000</v>
      </c>
      <c r="K41" s="11">
        <f t="shared" ref="K41" ca="1" si="106">TODAY()-AT41</f>
        <v>111</v>
      </c>
      <c r="L41" s="4">
        <v>3</v>
      </c>
      <c r="M41" s="4">
        <v>2</v>
      </c>
      <c r="N41" s="19">
        <f t="shared" si="23"/>
        <v>12400</v>
      </c>
      <c r="O41" s="19">
        <f t="shared" ref="O41" si="107">J41-N41</f>
        <v>49600</v>
      </c>
      <c r="P41" s="19">
        <f t="shared" si="24"/>
        <v>266.2635250140205</v>
      </c>
      <c r="Q41" s="19">
        <v>997</v>
      </c>
      <c r="R41" s="19">
        <f t="shared" ref="R41" si="108">Q41*12</f>
        <v>11964</v>
      </c>
      <c r="S41" s="19"/>
      <c r="T41" s="19">
        <f t="shared" si="2"/>
        <v>840</v>
      </c>
      <c r="U41" s="19">
        <v>2630</v>
      </c>
      <c r="V41" s="19">
        <f t="shared" ref="V41" si="109">U41+T41</f>
        <v>3470</v>
      </c>
      <c r="W41" s="19">
        <v>207</v>
      </c>
      <c r="X41" s="19">
        <v>200</v>
      </c>
      <c r="Y41" s="19">
        <f t="shared" si="4"/>
        <v>1196.4000000000001</v>
      </c>
      <c r="Z41" s="19">
        <f t="shared" si="5"/>
        <v>1196.4000000000001</v>
      </c>
      <c r="AA41" s="19">
        <f t="shared" ref="AA41" si="110">Z41+Y41+X41</f>
        <v>2592.8000000000002</v>
      </c>
      <c r="AB41" s="19"/>
      <c r="AC41" s="19">
        <f t="shared" ref="AC41" si="111">R41-V41-AA41</f>
        <v>5901.2</v>
      </c>
      <c r="AD41" s="19"/>
      <c r="AE41" s="19">
        <f t="shared" ref="AE41" si="112">AC41-(P41*12)</f>
        <v>2706.0376998317538</v>
      </c>
      <c r="AF41" s="19"/>
      <c r="AG41" s="34">
        <f t="shared" ref="AG41" si="113">R41</f>
        <v>11964</v>
      </c>
      <c r="AH41" s="34">
        <f t="shared" ref="AH41" si="114">AG41-Z41</f>
        <v>10767.6</v>
      </c>
      <c r="AI41" s="35">
        <f t="shared" ref="AI41" si="115">(Y41+X41+V41+(P41*12))/AH41</f>
        <v>0.74868701476357269</v>
      </c>
      <c r="AJ41" s="34">
        <f t="shared" ref="AJ41" si="116">AC41-(P41*12)-(AC41*0.1)</f>
        <v>2115.9176998317539</v>
      </c>
      <c r="AK41" s="34">
        <f t="shared" ref="AK41" si="117">AJ41-(AJ41*0.06)</f>
        <v>1988.9626378418486</v>
      </c>
      <c r="AL41" s="36">
        <f t="shared" ref="AL41" si="118">AK41/N41</f>
        <v>0.16040021272918134</v>
      </c>
      <c r="AM41" s="36">
        <f t="shared" ref="AM41" si="119">AC41/J41</f>
        <v>9.5180645161290323E-2</v>
      </c>
      <c r="AN41" s="36">
        <f t="shared" ref="AN41" si="120">(R41-(P41*12)-V41-AA41)/N41</f>
        <v>0.21822884676062534</v>
      </c>
      <c r="AO41" s="37">
        <f t="shared" ref="AO41" si="121">AC41/(P41*12)</f>
        <v>1.8469171345972828</v>
      </c>
      <c r="AP41" s="38">
        <f t="shared" ref="AP41" si="122">(O41/H41)</f>
        <v>0.42943722943722945</v>
      </c>
      <c r="AQ41" s="38">
        <f t="shared" ref="AQ41" si="123">100%-AP41</f>
        <v>0.57056277056277049</v>
      </c>
      <c r="AR41" s="34">
        <f t="shared" ref="AR41" si="124">AQ41*H41</f>
        <v>65899.999999999985</v>
      </c>
      <c r="AS41" s="39" t="b">
        <f t="shared" si="25"/>
        <v>1</v>
      </c>
      <c r="AT41" s="40">
        <v>40943</v>
      </c>
    </row>
    <row r="42" spans="1:46" s="4" customFormat="1">
      <c r="A42" s="3" t="s">
        <v>85</v>
      </c>
      <c r="B42" s="4" t="s">
        <v>83</v>
      </c>
      <c r="C42" s="4" t="s">
        <v>68</v>
      </c>
      <c r="D42" s="4">
        <v>29745</v>
      </c>
      <c r="E42" s="4">
        <v>2046788</v>
      </c>
      <c r="F42" s="19">
        <v>35008</v>
      </c>
      <c r="G42" s="19">
        <v>79000</v>
      </c>
      <c r="H42" s="19">
        <v>74000</v>
      </c>
      <c r="I42" s="19">
        <f t="shared" ref="I42" si="125">G42*0.85</f>
        <v>67150</v>
      </c>
      <c r="J42" s="19">
        <v>70000</v>
      </c>
      <c r="K42" s="11">
        <f t="shared" ref="K42" ca="1" si="126">TODAY()-AT42</f>
        <v>406</v>
      </c>
      <c r="L42" s="4">
        <v>3</v>
      </c>
      <c r="M42" s="4">
        <v>1.5</v>
      </c>
      <c r="N42" s="19">
        <f t="shared" si="23"/>
        <v>14000</v>
      </c>
      <c r="O42" s="19">
        <f t="shared" ref="O42" si="127">J42-N42</f>
        <v>56000</v>
      </c>
      <c r="P42" s="19">
        <f t="shared" si="24"/>
        <v>300.62010888679737</v>
      </c>
      <c r="Q42" s="19">
        <v>997</v>
      </c>
      <c r="R42" s="19">
        <f t="shared" ref="R42" si="128">Q42*12</f>
        <v>11964</v>
      </c>
      <c r="S42" s="19"/>
      <c r="T42" s="19">
        <f t="shared" si="2"/>
        <v>840</v>
      </c>
      <c r="U42" s="19">
        <v>1999</v>
      </c>
      <c r="V42" s="19">
        <f t="shared" ref="V42" si="129">U42+T42</f>
        <v>2839</v>
      </c>
      <c r="W42" s="19">
        <v>208</v>
      </c>
      <c r="X42" s="19">
        <v>200</v>
      </c>
      <c r="Y42" s="19">
        <f t="shared" ref="Y42" si="130">R42*0.1</f>
        <v>1196.4000000000001</v>
      </c>
      <c r="Z42" s="19">
        <f t="shared" ref="Z42" si="131">R42*0.1</f>
        <v>1196.4000000000001</v>
      </c>
      <c r="AA42" s="19">
        <f t="shared" ref="AA42" si="132">Z42+Y42+X42</f>
        <v>2592.8000000000002</v>
      </c>
      <c r="AB42" s="19"/>
      <c r="AC42" s="19">
        <f t="shared" ref="AC42" si="133">R42-V42-AA42</f>
        <v>6532.2</v>
      </c>
      <c r="AD42" s="19"/>
      <c r="AE42" s="19">
        <f t="shared" ref="AE42" si="134">AC42-(P42*12)</f>
        <v>2924.7586933584316</v>
      </c>
      <c r="AF42" s="19"/>
      <c r="AG42" s="34">
        <f t="shared" ref="AG42" si="135">R42</f>
        <v>11964</v>
      </c>
      <c r="AH42" s="34">
        <f t="shared" ref="AH42" si="136">AG42-Z42</f>
        <v>10767.6</v>
      </c>
      <c r="AI42" s="35">
        <f t="shared" ref="AI42" si="137">(Y42+X42+V42+(P42*12))/AH42</f>
        <v>0.72837413227103232</v>
      </c>
      <c r="AJ42" s="34">
        <f t="shared" ref="AJ42" si="138">AC42-(P42*12)-(AC42*0.1)</f>
        <v>2271.5386933584314</v>
      </c>
      <c r="AK42" s="34">
        <f t="shared" ref="AK42" si="139">AJ42-(AJ42*0.06)</f>
        <v>2135.2463717569253</v>
      </c>
      <c r="AL42" s="36">
        <f t="shared" ref="AL42" si="140">AK42/N42</f>
        <v>0.15251759798263753</v>
      </c>
      <c r="AM42" s="36">
        <f t="shared" ref="AM42" si="141">AC42/J42</f>
        <v>9.3317142857142849E-2</v>
      </c>
      <c r="AN42" s="36">
        <f t="shared" ref="AN42" si="142">(R42-(P42*12)-V42-AA42)/N42</f>
        <v>0.20891133523988792</v>
      </c>
      <c r="AO42" s="37">
        <f t="shared" ref="AO42" si="143">AC42/(P42*12)</f>
        <v>1.8107571114112746</v>
      </c>
      <c r="AP42" s="38">
        <f t="shared" ref="AP42" si="144">(O42/H42)</f>
        <v>0.7567567567567568</v>
      </c>
      <c r="AQ42" s="38">
        <f t="shared" ref="AQ42" si="145">100%-AP42</f>
        <v>0.2432432432432432</v>
      </c>
      <c r="AR42" s="34">
        <f t="shared" ref="AR42" si="146">AQ42*H42</f>
        <v>17999.999999999996</v>
      </c>
      <c r="AS42" s="39" t="b">
        <f t="shared" si="25"/>
        <v>1</v>
      </c>
      <c r="AT42" s="40">
        <v>40648</v>
      </c>
    </row>
    <row r="43" spans="1:46" s="4" customFormat="1">
      <c r="A43" s="3" t="s">
        <v>86</v>
      </c>
      <c r="B43" s="4" t="s">
        <v>67</v>
      </c>
      <c r="C43" s="4" t="s">
        <v>68</v>
      </c>
      <c r="D43" s="4">
        <v>29730</v>
      </c>
      <c r="E43" s="4">
        <v>2073280</v>
      </c>
      <c r="F43" s="19">
        <v>35009</v>
      </c>
      <c r="G43" s="19">
        <v>189900</v>
      </c>
      <c r="H43" s="19">
        <v>124200</v>
      </c>
      <c r="I43" s="19">
        <f>G43*0.85</f>
        <v>161415</v>
      </c>
      <c r="J43" s="19">
        <v>105000</v>
      </c>
      <c r="K43" s="11">
        <f t="shared" ref="K43" ca="1" si="147">TODAY()-AT43</f>
        <v>66</v>
      </c>
      <c r="L43" s="4">
        <v>8</v>
      </c>
      <c r="M43" s="4">
        <v>4</v>
      </c>
      <c r="N43" s="19">
        <f t="shared" si="23"/>
        <v>21000</v>
      </c>
      <c r="O43" s="19">
        <f t="shared" ref="O43" si="148">J43-N43</f>
        <v>84000</v>
      </c>
      <c r="P43" s="19">
        <f t="shared" si="24"/>
        <v>450.93016333019608</v>
      </c>
      <c r="Q43" s="19">
        <v>1945</v>
      </c>
      <c r="R43" s="19">
        <f t="shared" ref="R43" si="149">Q43*12</f>
        <v>23340</v>
      </c>
      <c r="S43" s="19"/>
      <c r="T43" s="19">
        <f t="shared" si="2"/>
        <v>840</v>
      </c>
      <c r="U43" s="19">
        <v>2828</v>
      </c>
      <c r="V43" s="19">
        <f t="shared" ref="V43" si="150">U43+T43</f>
        <v>3668</v>
      </c>
      <c r="W43" s="19">
        <v>209</v>
      </c>
      <c r="X43" s="19">
        <v>200</v>
      </c>
      <c r="Y43" s="19">
        <f t="shared" ref="Y43" si="151">R43*0.1</f>
        <v>2334</v>
      </c>
      <c r="Z43" s="19">
        <f t="shared" ref="Z43" si="152">R43*0.1</f>
        <v>2334</v>
      </c>
      <c r="AA43" s="19">
        <f t="shared" ref="AA43" si="153">Z43+Y43+X43</f>
        <v>4868</v>
      </c>
      <c r="AB43" s="19"/>
      <c r="AC43" s="19">
        <f t="shared" ref="AC43" si="154">R43-V43-AA43</f>
        <v>14804</v>
      </c>
      <c r="AD43" s="19"/>
      <c r="AE43" s="19">
        <f t="shared" ref="AE43" si="155">AC43-(P43*12)</f>
        <v>9392.8380400376482</v>
      </c>
      <c r="AF43" s="19"/>
      <c r="AG43" s="34">
        <f t="shared" ref="AG43" si="156">R43</f>
        <v>23340</v>
      </c>
      <c r="AH43" s="34">
        <f t="shared" ref="AH43" si="157">AG43-Z43</f>
        <v>21006</v>
      </c>
      <c r="AI43" s="35">
        <f t="shared" ref="AI43" si="158">(Y43+X43+V43+(P43*12))/AH43</f>
        <v>0.55284975530621494</v>
      </c>
      <c r="AJ43" s="34">
        <f t="shared" ref="AJ43" si="159">AC43-(P43*12)-(AC43*0.1)</f>
        <v>7912.4380400376485</v>
      </c>
      <c r="AK43" s="34">
        <f t="shared" ref="AK43" si="160">AJ43-(AJ43*0.06)</f>
        <v>7437.6917576353899</v>
      </c>
      <c r="AL43" s="36">
        <f t="shared" ref="AL43" si="161">AK43/N43</f>
        <v>0.3541757979826376</v>
      </c>
      <c r="AM43" s="36">
        <f t="shared" ref="AM43" si="162">AC43/J43</f>
        <v>0.14099047619047619</v>
      </c>
      <c r="AN43" s="36">
        <f t="shared" ref="AN43" si="163">(R43-(P43*12)-V43-AA43)/N43</f>
        <v>0.4472780019065547</v>
      </c>
      <c r="AO43" s="37">
        <f t="shared" ref="AO43" si="164">AC43/(P43*12)</f>
        <v>2.7358264471727245</v>
      </c>
      <c r="AP43" s="38">
        <f t="shared" ref="AP43" si="165">(O43/H43)</f>
        <v>0.67632850241545894</v>
      </c>
      <c r="AQ43" s="38">
        <f t="shared" ref="AQ43" si="166">100%-AP43</f>
        <v>0.32367149758454106</v>
      </c>
      <c r="AR43" s="34">
        <f t="shared" ref="AR43" si="167">AQ43*H43</f>
        <v>40200</v>
      </c>
      <c r="AS43" s="39" t="b">
        <f t="shared" si="25"/>
        <v>1</v>
      </c>
      <c r="AT43" s="40">
        <v>40988</v>
      </c>
    </row>
    <row r="44" spans="1:46" s="4" customFormat="1">
      <c r="A44" s="3" t="s">
        <v>87</v>
      </c>
      <c r="B44" s="4" t="s">
        <v>67</v>
      </c>
      <c r="C44" s="4" t="s">
        <v>68</v>
      </c>
      <c r="D44" s="4">
        <v>29732</v>
      </c>
      <c r="E44" s="4">
        <v>2061504</v>
      </c>
      <c r="F44" s="19">
        <v>35011</v>
      </c>
      <c r="G44" s="19">
        <v>42900</v>
      </c>
      <c r="H44" s="19">
        <v>86000</v>
      </c>
      <c r="I44" s="19">
        <f t="shared" ref="I44" si="168">G44*0.85</f>
        <v>36465</v>
      </c>
      <c r="J44" s="19">
        <v>36000</v>
      </c>
      <c r="K44" s="11">
        <f t="shared" ref="K44" ca="1" si="169">TODAY()-AT44</f>
        <v>124</v>
      </c>
      <c r="L44" s="4">
        <v>3</v>
      </c>
      <c r="M44" s="4">
        <v>2</v>
      </c>
      <c r="N44" s="19">
        <f t="shared" si="23"/>
        <v>7200</v>
      </c>
      <c r="O44" s="19">
        <f t="shared" ref="O44" si="170">J44-N44</f>
        <v>28800</v>
      </c>
      <c r="P44" s="19">
        <f t="shared" si="24"/>
        <v>154.60462742749579</v>
      </c>
      <c r="Q44" s="19">
        <v>997</v>
      </c>
      <c r="R44" s="19">
        <f t="shared" ref="R44" si="171">Q44*12</f>
        <v>11964</v>
      </c>
      <c r="S44" s="19"/>
      <c r="T44" s="19">
        <f t="shared" si="2"/>
        <v>840</v>
      </c>
      <c r="U44" s="19">
        <v>716</v>
      </c>
      <c r="V44" s="19">
        <f t="shared" ref="V44" si="172">U44+T44</f>
        <v>1556</v>
      </c>
      <c r="W44" s="19">
        <v>211</v>
      </c>
      <c r="X44" s="19">
        <v>200</v>
      </c>
      <c r="Y44" s="19">
        <f t="shared" ref="Y44" si="173">R44*0.1</f>
        <v>1196.4000000000001</v>
      </c>
      <c r="Z44" s="19">
        <f t="shared" ref="Z44" si="174">R44*0.1</f>
        <v>1196.4000000000001</v>
      </c>
      <c r="AA44" s="19">
        <f t="shared" ref="AA44" si="175">Z44+Y44+X44</f>
        <v>2592.8000000000002</v>
      </c>
      <c r="AB44" s="19"/>
      <c r="AC44" s="19">
        <f t="shared" ref="AC44" si="176">R44-V44-AA44</f>
        <v>7815.2</v>
      </c>
      <c r="AD44" s="19"/>
      <c r="AE44" s="19">
        <f t="shared" ref="AE44" si="177">AC44-(P44*12)</f>
        <v>5959.9444708700503</v>
      </c>
      <c r="AF44" s="19"/>
      <c r="AG44" s="34">
        <f t="shared" ref="AG44" si="178">R44</f>
        <v>11964</v>
      </c>
      <c r="AH44" s="34">
        <f t="shared" ref="AH44" si="179">AG44-Z44</f>
        <v>10767.6</v>
      </c>
      <c r="AI44" s="35">
        <f t="shared" ref="AI44" si="180">(Y44+X44+V44+(P44*12))/AH44</f>
        <v>0.44649276803836974</v>
      </c>
      <c r="AJ44" s="34">
        <f t="shared" ref="AJ44" si="181">AC44-(P44*12)-(AC44*0.1)</f>
        <v>5178.4244708700498</v>
      </c>
      <c r="AK44" s="34">
        <f t="shared" ref="AK44" si="182">AJ44-(AJ44*0.06)</f>
        <v>4867.7190026178469</v>
      </c>
      <c r="AL44" s="36">
        <f t="shared" ref="AL44" si="183">AK44/N44</f>
        <v>0.67607208369692318</v>
      </c>
      <c r="AM44" s="36">
        <f t="shared" ref="AM44" si="184">AC44/J44</f>
        <v>0.21708888888888889</v>
      </c>
      <c r="AN44" s="36">
        <f t="shared" ref="AN44" si="185">(R44-(P44*12)-V44-AA44)/N44</f>
        <v>0.82777006539861797</v>
      </c>
      <c r="AO44" s="37">
        <f t="shared" ref="AO44" si="186">AC44/(P44*12)</f>
        <v>4.2124655484331353</v>
      </c>
      <c r="AP44" s="38">
        <f t="shared" ref="AP44" si="187">(O44/H44)</f>
        <v>0.33488372093023255</v>
      </c>
      <c r="AQ44" s="38">
        <f t="shared" ref="AQ44" si="188">100%-AP44</f>
        <v>0.66511627906976745</v>
      </c>
      <c r="AR44" s="34">
        <f t="shared" ref="AR44" si="189">AQ44*H44</f>
        <v>57200</v>
      </c>
      <c r="AS44" s="39" t="b">
        <f t="shared" si="25"/>
        <v>1</v>
      </c>
      <c r="AT44" s="40">
        <v>40930</v>
      </c>
    </row>
    <row r="45" spans="1:46" s="4" customFormat="1">
      <c r="A45" s="3" t="s">
        <v>90</v>
      </c>
      <c r="B45" s="4" t="s">
        <v>67</v>
      </c>
      <c r="C45" s="4" t="s">
        <v>68</v>
      </c>
      <c r="D45" s="4">
        <v>29732</v>
      </c>
      <c r="E45" s="4">
        <v>1074583</v>
      </c>
      <c r="F45" s="19">
        <v>35013</v>
      </c>
      <c r="G45" s="19">
        <v>32000</v>
      </c>
      <c r="H45" s="19">
        <v>40000</v>
      </c>
      <c r="I45" s="19">
        <f t="shared" ref="I45" si="190">G45*0.85</f>
        <v>27200</v>
      </c>
      <c r="J45" s="19">
        <v>28000</v>
      </c>
      <c r="K45" s="11">
        <f t="shared" ref="K45" ca="1" si="191">TODAY()-AT45</f>
        <v>441</v>
      </c>
      <c r="L45" s="4">
        <v>2</v>
      </c>
      <c r="M45" s="4">
        <v>1</v>
      </c>
      <c r="N45" s="19">
        <f t="shared" si="23"/>
        <v>5600</v>
      </c>
      <c r="O45" s="19">
        <f t="shared" ref="O45" si="192">J45-N45</f>
        <v>22400</v>
      </c>
      <c r="P45" s="19">
        <f t="shared" si="24"/>
        <v>120.24804355471895</v>
      </c>
      <c r="Q45" s="19">
        <v>600</v>
      </c>
      <c r="R45" s="19">
        <f t="shared" ref="R45" si="193">Q45*12</f>
        <v>7200</v>
      </c>
      <c r="S45" s="19"/>
      <c r="T45" s="19">
        <f t="shared" si="2"/>
        <v>840</v>
      </c>
      <c r="U45" s="19">
        <v>0</v>
      </c>
      <c r="V45" s="19">
        <f t="shared" ref="V45" si="194">U45+T45</f>
        <v>840</v>
      </c>
      <c r="W45" s="19">
        <v>213</v>
      </c>
      <c r="X45" s="19">
        <v>200</v>
      </c>
      <c r="Y45" s="19">
        <f t="shared" ref="Y45" si="195">R45*0.1</f>
        <v>720</v>
      </c>
      <c r="Z45" s="19">
        <f t="shared" ref="Z45" si="196">R45*0.1</f>
        <v>720</v>
      </c>
      <c r="AA45" s="19">
        <f t="shared" ref="AA45" si="197">Z45+Y45+X45</f>
        <v>1640</v>
      </c>
      <c r="AB45" s="19"/>
      <c r="AC45" s="19">
        <f t="shared" ref="AC45" si="198">R45-V45-AA45</f>
        <v>4720</v>
      </c>
      <c r="AD45" s="19"/>
      <c r="AE45" s="19">
        <f t="shared" ref="AE45" si="199">AC45-(P45*12)</f>
        <v>3277.0234773433726</v>
      </c>
      <c r="AF45" s="19"/>
      <c r="AG45" s="34">
        <f t="shared" ref="AG45" si="200">R45</f>
        <v>7200</v>
      </c>
      <c r="AH45" s="34">
        <f t="shared" ref="AH45" si="201">AG45-Z45</f>
        <v>6480</v>
      </c>
      <c r="AI45" s="35">
        <f t="shared" ref="AI45" si="202">(Y45+X45+V45+(P45*12))/AH45</f>
        <v>0.49428650040997335</v>
      </c>
      <c r="AJ45" s="34">
        <f t="shared" ref="AJ45" si="203">AC45-(P45*12)-(AC45*0.1)</f>
        <v>2805.0234773433726</v>
      </c>
      <c r="AK45" s="34">
        <f t="shared" ref="AK45" si="204">AJ45-(AJ45*0.06)</f>
        <v>2636.7220687027702</v>
      </c>
      <c r="AL45" s="36">
        <f t="shared" ref="AL45" si="205">AK45/N45</f>
        <v>0.47084322655406613</v>
      </c>
      <c r="AM45" s="36">
        <f t="shared" ref="AM45" si="206">AC45/J45</f>
        <v>0.16857142857142857</v>
      </c>
      <c r="AN45" s="36">
        <f t="shared" ref="AN45" si="207">(R45-(P45*12)-V45-AA45)/N45</f>
        <v>0.58518276381131662</v>
      </c>
      <c r="AO45" s="37">
        <f t="shared" ref="AO45" si="208">AC45/(P45*12)</f>
        <v>3.2710164897971645</v>
      </c>
      <c r="AP45" s="38">
        <f t="shared" ref="AP45" si="209">(O45/H45)</f>
        <v>0.56000000000000005</v>
      </c>
      <c r="AQ45" s="38">
        <f t="shared" ref="AQ45" si="210">100%-AP45</f>
        <v>0.43999999999999995</v>
      </c>
      <c r="AR45" s="34">
        <f t="shared" ref="AR45" si="211">AQ45*H45</f>
        <v>17599.999999999996</v>
      </c>
      <c r="AS45" s="39" t="b">
        <f t="shared" si="25"/>
        <v>1</v>
      </c>
      <c r="AT45" s="40">
        <v>40613</v>
      </c>
    </row>
    <row r="46" spans="1:46" s="4" customFormat="1">
      <c r="A46" s="3" t="s">
        <v>91</v>
      </c>
      <c r="B46" s="4" t="s">
        <v>67</v>
      </c>
      <c r="C46" s="4" t="s">
        <v>68</v>
      </c>
      <c r="D46" s="4">
        <v>29732</v>
      </c>
      <c r="E46" s="4">
        <v>2064090</v>
      </c>
      <c r="F46" s="19">
        <v>35015</v>
      </c>
      <c r="G46" s="19">
        <v>45000</v>
      </c>
      <c r="H46" s="19">
        <v>70000</v>
      </c>
      <c r="I46" s="19">
        <f t="shared" ref="I46" si="212">G46*0.85</f>
        <v>38250</v>
      </c>
      <c r="J46" s="19">
        <v>41000</v>
      </c>
      <c r="K46" s="11">
        <f t="shared" ref="K46" ca="1" si="213">TODAY()-AT46</f>
        <v>112</v>
      </c>
      <c r="L46" s="4">
        <v>3</v>
      </c>
      <c r="M46" s="4">
        <v>1</v>
      </c>
      <c r="N46" s="19">
        <f t="shared" si="23"/>
        <v>8200</v>
      </c>
      <c r="O46" s="19">
        <f t="shared" ref="O46" si="214">J46-N46</f>
        <v>32800</v>
      </c>
      <c r="P46" s="19">
        <f t="shared" si="24"/>
        <v>176.07749234798132</v>
      </c>
      <c r="Q46" s="19">
        <v>800</v>
      </c>
      <c r="R46" s="19">
        <f t="shared" ref="R46" si="215">Q46*12</f>
        <v>9600</v>
      </c>
      <c r="S46" s="19"/>
      <c r="T46" s="19">
        <f t="shared" si="2"/>
        <v>840</v>
      </c>
      <c r="U46" s="19">
        <v>1000</v>
      </c>
      <c r="V46" s="19">
        <f t="shared" ref="V46" si="216">U46+T46</f>
        <v>1840</v>
      </c>
      <c r="W46" s="19">
        <v>215</v>
      </c>
      <c r="X46" s="19">
        <v>200</v>
      </c>
      <c r="Y46" s="19">
        <f t="shared" ref="Y46" si="217">R46*0.1</f>
        <v>960</v>
      </c>
      <c r="Z46" s="19">
        <f t="shared" ref="Z46" si="218">R46*0.1</f>
        <v>960</v>
      </c>
      <c r="AA46" s="19">
        <f t="shared" ref="AA46" si="219">Z46+Y46+X46</f>
        <v>2120</v>
      </c>
      <c r="AB46" s="19"/>
      <c r="AC46" s="19">
        <f t="shared" ref="AC46" si="220">R46-V46-AA46</f>
        <v>5640</v>
      </c>
      <c r="AD46" s="19"/>
      <c r="AE46" s="19">
        <f t="shared" ref="AE46" si="221">AC46-(P46*12)</f>
        <v>3527.0700918242242</v>
      </c>
      <c r="AF46" s="19"/>
      <c r="AG46" s="34">
        <f t="shared" ref="AG46" si="222">R46</f>
        <v>9600</v>
      </c>
      <c r="AH46" s="34">
        <f t="shared" ref="AH46" si="223">AG46-Z46</f>
        <v>8640</v>
      </c>
      <c r="AI46" s="35">
        <f t="shared" ref="AI46" si="224">(Y46+X46+V46+(P46*12))/AH46</f>
        <v>0.59177429492775191</v>
      </c>
      <c r="AJ46" s="34">
        <f t="shared" ref="AJ46" si="225">AC46-(P46*12)-(AC46*0.1)</f>
        <v>2963.0700918242242</v>
      </c>
      <c r="AK46" s="34">
        <f t="shared" ref="AK46" si="226">AJ46-(AJ46*0.06)</f>
        <v>2785.2858863147708</v>
      </c>
      <c r="AL46" s="36">
        <f t="shared" ref="AL46" si="227">AK46/N46</f>
        <v>0.33966901052619158</v>
      </c>
      <c r="AM46" s="36">
        <f t="shared" ref="AM46" si="228">AC46/J46</f>
        <v>0.13756097560975611</v>
      </c>
      <c r="AN46" s="36">
        <f t="shared" ref="AN46" si="229">(R46-(P46*12)-V46-AA46)/N46</f>
        <v>0.43013049900295414</v>
      </c>
      <c r="AO46" s="37">
        <f t="shared" ref="AO46" si="230">AC46/(P46*12)</f>
        <v>2.6692792686480376</v>
      </c>
      <c r="AP46" s="38">
        <f t="shared" ref="AP46" si="231">(O46/H46)</f>
        <v>0.46857142857142858</v>
      </c>
      <c r="AQ46" s="38">
        <f t="shared" ref="AQ46" si="232">100%-AP46</f>
        <v>0.53142857142857136</v>
      </c>
      <c r="AR46" s="34">
        <f t="shared" ref="AR46" si="233">AQ46*H46</f>
        <v>37199.999999999993</v>
      </c>
      <c r="AS46" s="39" t="b">
        <f t="shared" si="25"/>
        <v>1</v>
      </c>
      <c r="AT46" s="40">
        <v>40942</v>
      </c>
    </row>
    <row r="47" spans="1:46" s="4" customFormat="1">
      <c r="A47" s="3" t="s">
        <v>92</v>
      </c>
      <c r="B47" s="4" t="s">
        <v>93</v>
      </c>
      <c r="C47" s="4" t="s">
        <v>68</v>
      </c>
      <c r="D47" s="4">
        <v>29210</v>
      </c>
      <c r="E47" s="4">
        <v>285041</v>
      </c>
      <c r="F47" s="19">
        <v>35016</v>
      </c>
      <c r="G47" s="19">
        <v>119900</v>
      </c>
      <c r="H47" s="19">
        <v>119900</v>
      </c>
      <c r="I47" s="19">
        <f t="shared" ref="I47" si="234">G47*0.85</f>
        <v>101915</v>
      </c>
      <c r="J47" s="19">
        <v>100000</v>
      </c>
      <c r="K47" s="11">
        <f t="shared" ref="K47" ca="1" si="235">TODAY()-AT47</f>
        <v>455</v>
      </c>
      <c r="L47" s="4">
        <v>6</v>
      </c>
      <c r="M47" s="4">
        <v>6</v>
      </c>
      <c r="N47" s="19">
        <f t="shared" si="23"/>
        <v>20000</v>
      </c>
      <c r="O47" s="19">
        <f t="shared" ref="O47" si="236">J47-N47</f>
        <v>80000</v>
      </c>
      <c r="P47" s="19">
        <f t="shared" si="24"/>
        <v>429.45729840971052</v>
      </c>
      <c r="Q47" s="19">
        <v>2000</v>
      </c>
      <c r="R47" s="19">
        <f t="shared" ref="R47" si="237">Q47*12</f>
        <v>24000</v>
      </c>
      <c r="S47" s="19"/>
      <c r="T47" s="19">
        <f t="shared" si="2"/>
        <v>840</v>
      </c>
      <c r="U47" s="19">
        <v>3000</v>
      </c>
      <c r="V47" s="19">
        <f t="shared" ref="V47" si="238">U47+T47</f>
        <v>3840</v>
      </c>
      <c r="W47" s="19">
        <v>216</v>
      </c>
      <c r="X47" s="19">
        <v>200</v>
      </c>
      <c r="Y47" s="19">
        <f t="shared" ref="Y47" si="239">R47*0.1</f>
        <v>2400</v>
      </c>
      <c r="Z47" s="19">
        <f t="shared" ref="Z47" si="240">R47*0.1</f>
        <v>2400</v>
      </c>
      <c r="AA47" s="19">
        <f t="shared" ref="AA47" si="241">Z47+Y47+X47</f>
        <v>5000</v>
      </c>
      <c r="AB47" s="19"/>
      <c r="AC47" s="19">
        <f t="shared" ref="AC47" si="242">R47-V47-AA47</f>
        <v>15160</v>
      </c>
      <c r="AD47" s="19"/>
      <c r="AE47" s="19">
        <f t="shared" ref="AE47" si="243">AC47-(P47*12)</f>
        <v>10006.512419083474</v>
      </c>
      <c r="AF47" s="19"/>
      <c r="AG47" s="34">
        <f t="shared" ref="AG47" si="244">R47</f>
        <v>24000</v>
      </c>
      <c r="AH47" s="34">
        <f t="shared" ref="AH47" si="245">AG47-Z47</f>
        <v>21600</v>
      </c>
      <c r="AI47" s="35">
        <f t="shared" ref="AI47" si="246">(Y47+X47+V47+(P47*12))/AH47</f>
        <v>0.53673553615354286</v>
      </c>
      <c r="AJ47" s="34">
        <f t="shared" ref="AJ47" si="247">AC47-(P47*12)-(AC47*0.1)</f>
        <v>8490.512419083474</v>
      </c>
      <c r="AK47" s="34">
        <f t="shared" ref="AK47" si="248">AJ47-(AJ47*0.06)</f>
        <v>7981.0816739384654</v>
      </c>
      <c r="AL47" s="36">
        <f t="shared" ref="AL47" si="249">AK47/N47</f>
        <v>0.39905408369692325</v>
      </c>
      <c r="AM47" s="36">
        <f t="shared" ref="AM47" si="250">AC47/J47</f>
        <v>0.15160000000000001</v>
      </c>
      <c r="AN47" s="36">
        <f t="shared" ref="AN47" si="251">(R47-(P47*12)-V47-AA47)/N47</f>
        <v>0.50032562095417377</v>
      </c>
      <c r="AO47" s="37">
        <f t="shared" ref="AO47" si="252">AC47/(P47*12)</f>
        <v>2.9416972025192809</v>
      </c>
      <c r="AP47" s="38">
        <f t="shared" ref="AP47" si="253">(O47/H47)</f>
        <v>0.66722268557130937</v>
      </c>
      <c r="AQ47" s="38">
        <f t="shared" ref="AQ47" si="254">100%-AP47</f>
        <v>0.33277731442869063</v>
      </c>
      <c r="AR47" s="34">
        <f t="shared" ref="AR47" si="255">AQ47*H47</f>
        <v>39900.000000000007</v>
      </c>
      <c r="AS47" s="39" t="b">
        <f t="shared" si="25"/>
        <v>1</v>
      </c>
      <c r="AT47" s="40">
        <v>40599</v>
      </c>
    </row>
    <row r="48" spans="1:46" s="4" customFormat="1">
      <c r="A48" s="3" t="s">
        <v>94</v>
      </c>
      <c r="B48" s="4" t="s">
        <v>67</v>
      </c>
      <c r="C48" s="4" t="s">
        <v>68</v>
      </c>
      <c r="D48" s="4">
        <v>29730</v>
      </c>
      <c r="E48" s="4">
        <v>0</v>
      </c>
      <c r="F48" s="19">
        <v>35018</v>
      </c>
      <c r="G48" s="19">
        <v>42600</v>
      </c>
      <c r="H48" s="19">
        <v>58000</v>
      </c>
      <c r="I48" s="19">
        <f t="shared" ref="I48" si="256">G48*0.85</f>
        <v>36210</v>
      </c>
      <c r="J48" s="19">
        <v>38000</v>
      </c>
      <c r="K48" s="11">
        <f t="shared" ref="K48" ca="1" si="257">TODAY()-AT48</f>
        <v>211</v>
      </c>
      <c r="L48" s="4">
        <v>3</v>
      </c>
      <c r="M48" s="4">
        <v>1</v>
      </c>
      <c r="N48" s="19">
        <f t="shared" si="23"/>
        <v>7600</v>
      </c>
      <c r="O48" s="19">
        <f t="shared" ref="O48" si="258">J48-N48</f>
        <v>30400</v>
      </c>
      <c r="P48" s="19">
        <f t="shared" si="24"/>
        <v>163.19377339568999</v>
      </c>
      <c r="Q48" s="19">
        <v>997</v>
      </c>
      <c r="R48" s="19">
        <f t="shared" ref="R48" si="259">Q48*12</f>
        <v>11964</v>
      </c>
      <c r="S48" s="19"/>
      <c r="T48" s="19">
        <f t="shared" si="2"/>
        <v>840</v>
      </c>
      <c r="U48" s="19">
        <v>1000</v>
      </c>
      <c r="V48" s="19">
        <f t="shared" ref="V48" si="260">U48+T48</f>
        <v>1840</v>
      </c>
      <c r="W48" s="19">
        <v>218</v>
      </c>
      <c r="X48" s="19">
        <v>200</v>
      </c>
      <c r="Y48" s="19">
        <f t="shared" ref="Y48" si="261">R48*0.1</f>
        <v>1196.4000000000001</v>
      </c>
      <c r="Z48" s="19">
        <f t="shared" ref="Z48" si="262">R48*0.1</f>
        <v>1196.4000000000001</v>
      </c>
      <c r="AA48" s="19">
        <f t="shared" ref="AA48" si="263">Z48+Y48+X48</f>
        <v>2592.8000000000002</v>
      </c>
      <c r="AB48" s="19"/>
      <c r="AC48" s="19">
        <f t="shared" ref="AC48" si="264">R48-V48-AA48</f>
        <v>7531.2</v>
      </c>
      <c r="AD48" s="19"/>
      <c r="AE48" s="19">
        <f t="shared" ref="AE48" si="265">AC48-(P48*12)</f>
        <v>5572.8747192517203</v>
      </c>
      <c r="AF48" s="19"/>
      <c r="AG48" s="34">
        <f t="shared" ref="AG48" si="266">R48</f>
        <v>11964</v>
      </c>
      <c r="AH48" s="34">
        <f t="shared" ref="AH48" si="267">AG48-Z48</f>
        <v>10767.6</v>
      </c>
      <c r="AI48" s="35">
        <f t="shared" ref="AI48" si="268">(Y48+X48+V48+(P48*12))/AH48</f>
        <v>0.48244040275904376</v>
      </c>
      <c r="AJ48" s="34">
        <f t="shared" ref="AJ48" si="269">AC48-(P48*12)-(AC48*0.1)</f>
        <v>4819.7547192517204</v>
      </c>
      <c r="AK48" s="34">
        <f t="shared" ref="AK48" si="270">AJ48-(AJ48*0.06)</f>
        <v>4530.5694360966172</v>
      </c>
      <c r="AL48" s="36">
        <f t="shared" ref="AL48" si="271">AK48/N48</f>
        <v>0.59612755738113388</v>
      </c>
      <c r="AM48" s="36">
        <f t="shared" ref="AM48" si="272">AC48/J48</f>
        <v>0.19818947368421053</v>
      </c>
      <c r="AN48" s="36">
        <f t="shared" ref="AN48" si="273">(R48-(P48*12)-V48-AA48)/N48</f>
        <v>0.73327298937522623</v>
      </c>
      <c r="AO48" s="37">
        <f t="shared" ref="AO48" si="274">AC48/(P48*12)</f>
        <v>3.845734962438065</v>
      </c>
      <c r="AP48" s="38">
        <f t="shared" ref="AP48" si="275">(O48/H48)</f>
        <v>0.52413793103448281</v>
      </c>
      <c r="AQ48" s="38">
        <f t="shared" ref="AQ48" si="276">100%-AP48</f>
        <v>0.47586206896551719</v>
      </c>
      <c r="AR48" s="34">
        <f t="shared" ref="AR48" si="277">AQ48*H48</f>
        <v>27599.999999999996</v>
      </c>
      <c r="AS48" s="39" t="b">
        <f t="shared" si="25"/>
        <v>1</v>
      </c>
      <c r="AT48" s="40">
        <v>40843</v>
      </c>
    </row>
    <row r="49" spans="1:46" s="4" customFormat="1">
      <c r="A49" s="3" t="s">
        <v>95</v>
      </c>
      <c r="B49" s="4" t="s">
        <v>67</v>
      </c>
      <c r="C49" s="4" t="s">
        <v>68</v>
      </c>
      <c r="D49" s="4">
        <v>29732</v>
      </c>
      <c r="E49" s="4">
        <v>0</v>
      </c>
      <c r="F49" s="19">
        <v>35019</v>
      </c>
      <c r="G49" s="19">
        <v>46600</v>
      </c>
      <c r="H49" s="19">
        <v>38000</v>
      </c>
      <c r="I49" s="19">
        <f t="shared" ref="I49" si="278">G49*0.85</f>
        <v>39610</v>
      </c>
      <c r="J49" s="19">
        <v>33000</v>
      </c>
      <c r="K49" s="11">
        <f t="shared" ref="K49" ca="1" si="279">TODAY()-AT49</f>
        <v>211</v>
      </c>
      <c r="L49" s="4">
        <v>3</v>
      </c>
      <c r="M49" s="4">
        <v>2</v>
      </c>
      <c r="N49" s="19">
        <f t="shared" si="23"/>
        <v>6600</v>
      </c>
      <c r="O49" s="19">
        <f t="shared" ref="O49" si="280">J49-N49</f>
        <v>26400</v>
      </c>
      <c r="P49" s="19">
        <f t="shared" si="24"/>
        <v>141.72090847520448</v>
      </c>
      <c r="Q49" s="19">
        <v>997</v>
      </c>
      <c r="R49" s="19">
        <f t="shared" ref="R49" si="281">Q49*12</f>
        <v>11964</v>
      </c>
      <c r="S49" s="19"/>
      <c r="T49" s="19">
        <f t="shared" si="2"/>
        <v>840</v>
      </c>
      <c r="U49" s="19">
        <v>1000</v>
      </c>
      <c r="V49" s="19">
        <f t="shared" ref="V49" si="282">U49+T49</f>
        <v>1840</v>
      </c>
      <c r="W49" s="19">
        <v>219</v>
      </c>
      <c r="X49" s="19">
        <v>200</v>
      </c>
      <c r="Y49" s="19">
        <f t="shared" ref="Y49" si="283">R49*0.1</f>
        <v>1196.4000000000001</v>
      </c>
      <c r="Z49" s="19">
        <f t="shared" ref="Z49" si="284">R49*0.1</f>
        <v>1196.4000000000001</v>
      </c>
      <c r="AA49" s="19">
        <f t="shared" ref="AA49" si="285">Z49+Y49+X49</f>
        <v>2592.8000000000002</v>
      </c>
      <c r="AB49" s="19"/>
      <c r="AC49" s="19">
        <f t="shared" ref="AC49" si="286">R49-V49-AA49</f>
        <v>7531.2</v>
      </c>
      <c r="AD49" s="19"/>
      <c r="AE49" s="19">
        <f t="shared" ref="AE49" si="287">AC49-(P49*12)</f>
        <v>5830.5490982975462</v>
      </c>
      <c r="AF49" s="19"/>
      <c r="AG49" s="34">
        <f t="shared" ref="AG49" si="288">R49</f>
        <v>11964</v>
      </c>
      <c r="AH49" s="34">
        <f t="shared" ref="AH49" si="289">AG49-Z49</f>
        <v>10767.6</v>
      </c>
      <c r="AI49" s="35">
        <f t="shared" ref="AI49" si="290">(Y49+X49+V49+(P49*12))/AH49</f>
        <v>0.45850987236732921</v>
      </c>
      <c r="AJ49" s="34">
        <f t="shared" ref="AJ49" si="291">AC49-(P49*12)-(AC49*0.1)</f>
        <v>5077.4290982975463</v>
      </c>
      <c r="AK49" s="34">
        <f t="shared" ref="AK49" si="292">AJ49-(AJ49*0.06)</f>
        <v>4772.7833523996933</v>
      </c>
      <c r="AL49" s="36">
        <f t="shared" ref="AL49" si="293">AK49/N49</f>
        <v>0.72314899278783229</v>
      </c>
      <c r="AM49" s="36">
        <f t="shared" ref="AM49" si="294">AC49/J49</f>
        <v>0.22821818181818182</v>
      </c>
      <c r="AN49" s="36">
        <f t="shared" ref="AN49" si="295">(R49-(P49*12)-V49-AA49)/N49</f>
        <v>0.88341653004508258</v>
      </c>
      <c r="AO49" s="37">
        <f t="shared" ref="AO49" si="296">AC49/(P49*12)</f>
        <v>4.4284220779589845</v>
      </c>
      <c r="AP49" s="38">
        <f t="shared" ref="AP49" si="297">(O49/H49)</f>
        <v>0.69473684210526321</v>
      </c>
      <c r="AQ49" s="38">
        <f t="shared" ref="AQ49" si="298">100%-AP49</f>
        <v>0.30526315789473679</v>
      </c>
      <c r="AR49" s="34">
        <f t="shared" ref="AR49" si="299">AQ49*H49</f>
        <v>11599.999999999998</v>
      </c>
      <c r="AS49" s="39" t="b">
        <f t="shared" si="25"/>
        <v>1</v>
      </c>
      <c r="AT49" s="40">
        <v>40843</v>
      </c>
    </row>
    <row r="50" spans="1:46" s="4" customFormat="1">
      <c r="A50" s="3" t="s">
        <v>96</v>
      </c>
      <c r="B50" s="4" t="s">
        <v>67</v>
      </c>
      <c r="C50" s="4" t="s">
        <v>68</v>
      </c>
      <c r="D50" s="4">
        <v>29730</v>
      </c>
      <c r="E50" s="4">
        <v>2015015</v>
      </c>
      <c r="F50" s="19">
        <v>35022</v>
      </c>
      <c r="G50" s="19">
        <v>23000</v>
      </c>
      <c r="H50" s="19">
        <v>45500</v>
      </c>
      <c r="I50" s="19">
        <f t="shared" ref="I50" si="300">G50*0.85</f>
        <v>19550</v>
      </c>
      <c r="J50" s="19">
        <v>19000</v>
      </c>
      <c r="K50" s="11">
        <f t="shared" ref="K50" ca="1" si="301">TODAY()-AT50</f>
        <v>381</v>
      </c>
      <c r="L50" s="4">
        <v>2</v>
      </c>
      <c r="M50" s="4">
        <v>1</v>
      </c>
      <c r="N50" s="19">
        <f t="shared" si="23"/>
        <v>3800</v>
      </c>
      <c r="O50" s="19">
        <f t="shared" ref="O50" si="302">J50-N50</f>
        <v>15200</v>
      </c>
      <c r="P50" s="19">
        <f t="shared" si="24"/>
        <v>81.596886697844994</v>
      </c>
      <c r="Q50" s="19">
        <v>719</v>
      </c>
      <c r="R50" s="19">
        <f t="shared" ref="R50" si="303">Q50*12</f>
        <v>8628</v>
      </c>
      <c r="S50" s="19"/>
      <c r="T50" s="19">
        <f t="shared" si="2"/>
        <v>840</v>
      </c>
      <c r="U50" s="19">
        <v>1000</v>
      </c>
      <c r="V50" s="19">
        <f t="shared" ref="V50" si="304">U50+T50</f>
        <v>1840</v>
      </c>
      <c r="W50" s="19">
        <v>222</v>
      </c>
      <c r="X50" s="19">
        <v>200</v>
      </c>
      <c r="Y50" s="19">
        <f t="shared" ref="Y50" si="305">R50*0.1</f>
        <v>862.80000000000007</v>
      </c>
      <c r="Z50" s="19">
        <f t="shared" ref="Z50" si="306">R50*0.1</f>
        <v>862.80000000000007</v>
      </c>
      <c r="AA50" s="19">
        <f t="shared" ref="AA50" si="307">Z50+Y50+X50</f>
        <v>1925.6000000000001</v>
      </c>
      <c r="AB50" s="19"/>
      <c r="AC50" s="19">
        <f t="shared" ref="AC50" si="308">R50-V50-AA50</f>
        <v>4862.3999999999996</v>
      </c>
      <c r="AD50" s="19"/>
      <c r="AE50" s="19">
        <f t="shared" ref="AE50" si="309">AC50-(P50*12)</f>
        <v>3883.2373596258594</v>
      </c>
      <c r="AF50" s="19"/>
      <c r="AG50" s="34">
        <f t="shared" ref="AG50" si="310">R50</f>
        <v>8628</v>
      </c>
      <c r="AH50" s="34">
        <f t="shared" ref="AH50" si="311">AG50-Z50</f>
        <v>7765.2</v>
      </c>
      <c r="AI50" s="35">
        <f t="shared" ref="AI50" si="312">(Y50+X50+V50+(P50*12))/AH50</f>
        <v>0.49991792102896776</v>
      </c>
      <c r="AJ50" s="34">
        <f t="shared" ref="AJ50" si="313">AC50-(P50*12)-(AC50*0.1)</f>
        <v>3396.9973596258596</v>
      </c>
      <c r="AK50" s="34">
        <f t="shared" ref="AK50" si="314">AJ50-(AJ50*0.06)</f>
        <v>3193.1775180483082</v>
      </c>
      <c r="AL50" s="36">
        <f t="shared" ref="AL50" si="315">AK50/N50</f>
        <v>0.84030987317060746</v>
      </c>
      <c r="AM50" s="36">
        <f t="shared" ref="AM50" si="316">AC50/J50</f>
        <v>0.25591578947368421</v>
      </c>
      <c r="AN50" s="36">
        <f t="shared" ref="AN50" si="317">(R50-(P50*12)-V50-AA50)/N50</f>
        <v>1.0219045683225947</v>
      </c>
      <c r="AO50" s="37">
        <f t="shared" ref="AO50" si="318">AC50/(P50*12)</f>
        <v>4.965875738623021</v>
      </c>
      <c r="AP50" s="38">
        <f t="shared" ref="AP50" si="319">(O50/H50)</f>
        <v>0.33406593406593404</v>
      </c>
      <c r="AQ50" s="38">
        <f t="shared" ref="AQ50" si="320">100%-AP50</f>
        <v>0.66593406593406601</v>
      </c>
      <c r="AR50" s="34">
        <f t="shared" ref="AR50" si="321">AQ50*H50</f>
        <v>30300.000000000004</v>
      </c>
      <c r="AS50" s="39" t="b">
        <f t="shared" ref="AS50:AS76" si="322">AND(AI50&lt;=0.85,AM50&gt;=0.08,AN50&gt;0.2,AO50&gt;1.3,AP50&lt;=0.8,AR50&gt;3000)</f>
        <v>1</v>
      </c>
      <c r="AT50" s="40">
        <v>40673</v>
      </c>
    </row>
    <row r="51" spans="1:46" s="4" customFormat="1">
      <c r="A51" s="3" t="s">
        <v>97</v>
      </c>
      <c r="B51" s="4" t="s">
        <v>67</v>
      </c>
      <c r="C51" s="4" t="s">
        <v>68</v>
      </c>
      <c r="D51" s="4">
        <v>29730</v>
      </c>
      <c r="E51" s="4">
        <v>1080365</v>
      </c>
      <c r="F51" s="19">
        <v>35024</v>
      </c>
      <c r="G51" s="19">
        <v>23000</v>
      </c>
      <c r="H51" s="19">
        <v>77000</v>
      </c>
      <c r="I51" s="19">
        <f t="shared" ref="I51" si="323">G51*0.85</f>
        <v>19550</v>
      </c>
      <c r="J51" s="19">
        <v>20000</v>
      </c>
      <c r="K51" s="11">
        <f t="shared" ref="K51" ca="1" si="324">TODAY()-AT51</f>
        <v>65</v>
      </c>
      <c r="L51" s="4">
        <v>3</v>
      </c>
      <c r="M51" s="4">
        <v>2</v>
      </c>
      <c r="N51" s="19">
        <f t="shared" si="23"/>
        <v>4000</v>
      </c>
      <c r="O51" s="19">
        <f t="shared" ref="O51" si="325">J51-N51</f>
        <v>16000</v>
      </c>
      <c r="P51" s="19">
        <f t="shared" si="24"/>
        <v>85.891459681942109</v>
      </c>
      <c r="Q51" s="19">
        <v>997</v>
      </c>
      <c r="R51" s="19">
        <f t="shared" ref="R51" si="326">Q51*12</f>
        <v>11964</v>
      </c>
      <c r="S51" s="19"/>
      <c r="T51" s="19">
        <f t="shared" si="2"/>
        <v>840</v>
      </c>
      <c r="U51" s="19">
        <v>1000</v>
      </c>
      <c r="V51" s="19">
        <f t="shared" ref="V51" si="327">U51+T51</f>
        <v>1840</v>
      </c>
      <c r="W51" s="19">
        <v>224</v>
      </c>
      <c r="X51" s="19">
        <v>200</v>
      </c>
      <c r="Y51" s="19">
        <f t="shared" ref="Y51" si="328">R51*0.1</f>
        <v>1196.4000000000001</v>
      </c>
      <c r="Z51" s="19">
        <f t="shared" ref="Z51" si="329">R51*0.1</f>
        <v>1196.4000000000001</v>
      </c>
      <c r="AA51" s="19">
        <f t="shared" ref="AA51" si="330">Z51+Y51+X51</f>
        <v>2592.8000000000002</v>
      </c>
      <c r="AB51" s="19"/>
      <c r="AC51" s="19">
        <f t="shared" ref="AC51" si="331">R51-V51-AA51</f>
        <v>7531.2</v>
      </c>
      <c r="AD51" s="19"/>
      <c r="AE51" s="19">
        <f t="shared" ref="AE51" si="332">AC51-(P51*12)</f>
        <v>6500.5024838166946</v>
      </c>
      <c r="AF51" s="19"/>
      <c r="AG51" s="34">
        <f t="shared" ref="AG51" si="333">R51</f>
        <v>11964</v>
      </c>
      <c r="AH51" s="34">
        <f t="shared" ref="AH51" si="334">AG51-Z51</f>
        <v>10767.6</v>
      </c>
      <c r="AI51" s="35">
        <f t="shared" ref="AI51" si="335">(Y51+X51+V51+(P51*12))/AH51</f>
        <v>0.39629049334887112</v>
      </c>
      <c r="AJ51" s="34">
        <f t="shared" ref="AJ51" si="336">AC51-(P51*12)-(AC51*0.1)</f>
        <v>5747.3824838166947</v>
      </c>
      <c r="AK51" s="34">
        <f t="shared" ref="AK51" si="337">AJ51-(AJ51*0.06)</f>
        <v>5402.5395347876929</v>
      </c>
      <c r="AL51" s="36">
        <f t="shared" ref="AL51" si="338">AK51/N51</f>
        <v>1.3506348836969233</v>
      </c>
      <c r="AM51" s="36">
        <f t="shared" ref="AM51" si="339">AC51/J51</f>
        <v>0.37656000000000001</v>
      </c>
      <c r="AN51" s="36">
        <f t="shared" ref="AN51" si="340">(R51-(P51*12)-V51-AA51)/N51</f>
        <v>1.6251256209541736</v>
      </c>
      <c r="AO51" s="37">
        <f t="shared" ref="AO51" si="341">AC51/(P51*12)</f>
        <v>7.3068964286323244</v>
      </c>
      <c r="AP51" s="38">
        <f t="shared" ref="AP51" si="342">(O51/H51)</f>
        <v>0.20779220779220781</v>
      </c>
      <c r="AQ51" s="38">
        <f t="shared" ref="AQ51" si="343">100%-AP51</f>
        <v>0.79220779220779214</v>
      </c>
      <c r="AR51" s="34">
        <f t="shared" ref="AR51" si="344">AQ51*H51</f>
        <v>60999.999999999993</v>
      </c>
      <c r="AS51" s="39" t="b">
        <f t="shared" si="322"/>
        <v>1</v>
      </c>
      <c r="AT51" s="40">
        <v>40989</v>
      </c>
    </row>
    <row r="52" spans="1:46" s="4" customFormat="1">
      <c r="A52" s="3" t="s">
        <v>98</v>
      </c>
      <c r="B52" s="4" t="s">
        <v>83</v>
      </c>
      <c r="C52" s="4" t="s">
        <v>68</v>
      </c>
      <c r="D52" s="4">
        <v>29745</v>
      </c>
      <c r="E52" s="4">
        <v>0</v>
      </c>
      <c r="F52" s="19">
        <v>35025</v>
      </c>
      <c r="G52" s="19">
        <v>55000</v>
      </c>
      <c r="H52" s="19">
        <v>50500</v>
      </c>
      <c r="I52" s="19">
        <f t="shared" ref="I52" si="345">G52*0.85</f>
        <v>46750</v>
      </c>
      <c r="J52" s="19">
        <v>45000</v>
      </c>
      <c r="K52" s="11">
        <f t="shared" ref="K52" ca="1" si="346">TODAY()-AT52</f>
        <v>88</v>
      </c>
      <c r="L52" s="4">
        <v>2</v>
      </c>
      <c r="M52" s="4">
        <v>1</v>
      </c>
      <c r="N52" s="19">
        <f t="shared" si="23"/>
        <v>9000</v>
      </c>
      <c r="O52" s="19">
        <f t="shared" ref="O52" si="347">J52-N52</f>
        <v>36000</v>
      </c>
      <c r="P52" s="19">
        <f t="shared" si="24"/>
        <v>193.25578428436975</v>
      </c>
      <c r="Q52" s="19">
        <v>719</v>
      </c>
      <c r="R52" s="19">
        <f t="shared" ref="R52" si="348">Q52*12</f>
        <v>8628</v>
      </c>
      <c r="S52" s="19"/>
      <c r="T52" s="19">
        <f t="shared" si="2"/>
        <v>840</v>
      </c>
      <c r="U52" s="19">
        <v>1000</v>
      </c>
      <c r="V52" s="19">
        <f t="shared" ref="V52" si="349">U52+T52</f>
        <v>1840</v>
      </c>
      <c r="W52" s="19">
        <v>225</v>
      </c>
      <c r="X52" s="19">
        <v>200</v>
      </c>
      <c r="Y52" s="19">
        <f t="shared" ref="Y52" si="350">R52*0.1</f>
        <v>862.80000000000007</v>
      </c>
      <c r="Z52" s="19">
        <f t="shared" ref="Z52" si="351">R52*0.1</f>
        <v>862.80000000000007</v>
      </c>
      <c r="AA52" s="19">
        <f t="shared" ref="AA52" si="352">Z52+Y52+X52</f>
        <v>1925.6000000000001</v>
      </c>
      <c r="AB52" s="19"/>
      <c r="AC52" s="19">
        <f t="shared" ref="AC52" si="353">R52-V52-AA52</f>
        <v>4862.3999999999996</v>
      </c>
      <c r="AD52" s="19"/>
      <c r="AE52" s="19">
        <f t="shared" ref="AE52" si="354">AC52-(P52*12)</f>
        <v>2543.3305885875625</v>
      </c>
      <c r="AF52" s="19"/>
      <c r="AG52" s="34">
        <f t="shared" ref="AG52" si="355">R52</f>
        <v>8628</v>
      </c>
      <c r="AH52" s="34">
        <f t="shared" ref="AH52" si="356">AG52-Z52</f>
        <v>7765.2</v>
      </c>
      <c r="AI52" s="35">
        <f t="shared" ref="AI52" si="357">(Y52+X52+V52+(P52*12))/AH52</f>
        <v>0.67247069121367609</v>
      </c>
      <c r="AJ52" s="34">
        <f t="shared" ref="AJ52" si="358">AC52-(P52*12)-(AC52*0.1)</f>
        <v>2057.0905885875627</v>
      </c>
      <c r="AK52" s="34">
        <f t="shared" ref="AK52" si="359">AJ52-(AJ52*0.06)</f>
        <v>1933.665153272309</v>
      </c>
      <c r="AL52" s="36">
        <f t="shared" ref="AL52" si="360">AK52/N52</f>
        <v>0.21485168369692323</v>
      </c>
      <c r="AM52" s="36">
        <f t="shared" ref="AM52" si="361">AC52/J52</f>
        <v>0.10805333333333332</v>
      </c>
      <c r="AN52" s="36">
        <f t="shared" ref="AN52" si="362">(R52-(P52*12)-V52-AA52)/N52</f>
        <v>0.28259228762084027</v>
      </c>
      <c r="AO52" s="37">
        <f t="shared" ref="AO52" si="363">AC52/(P52*12)</f>
        <v>2.0967030896408305</v>
      </c>
      <c r="AP52" s="38">
        <f t="shared" ref="AP52" si="364">(O52/H52)</f>
        <v>0.71287128712871284</v>
      </c>
      <c r="AQ52" s="38">
        <f t="shared" ref="AQ52" si="365">100%-AP52</f>
        <v>0.28712871287128716</v>
      </c>
      <c r="AR52" s="34">
        <f t="shared" ref="AR52" si="366">AQ52*H52</f>
        <v>14500.000000000002</v>
      </c>
      <c r="AS52" s="39" t="b">
        <f t="shared" si="322"/>
        <v>1</v>
      </c>
      <c r="AT52" s="40">
        <v>40966</v>
      </c>
    </row>
    <row r="53" spans="1:46" s="4" customFormat="1">
      <c r="A53" s="3" t="s">
        <v>99</v>
      </c>
      <c r="B53" s="4" t="s">
        <v>67</v>
      </c>
      <c r="C53" s="4" t="s">
        <v>68</v>
      </c>
      <c r="D53" s="4">
        <v>29730</v>
      </c>
      <c r="E53" s="4">
        <v>0</v>
      </c>
      <c r="F53" s="19">
        <v>35026</v>
      </c>
      <c r="G53" s="19">
        <v>42000</v>
      </c>
      <c r="H53" s="19">
        <v>58000</v>
      </c>
      <c r="I53" s="19">
        <f t="shared" ref="I53" si="367">G53*0.85</f>
        <v>35700</v>
      </c>
      <c r="J53" s="19">
        <v>39000</v>
      </c>
      <c r="K53" s="11">
        <f t="shared" ref="K53" ca="1" si="368">TODAY()-AT53</f>
        <v>72</v>
      </c>
      <c r="L53" s="4">
        <v>3</v>
      </c>
      <c r="M53" s="4">
        <v>1</v>
      </c>
      <c r="N53" s="19">
        <f t="shared" si="23"/>
        <v>7800</v>
      </c>
      <c r="O53" s="19">
        <f t="shared" ref="O53" si="369">J53-N53</f>
        <v>31200</v>
      </c>
      <c r="P53" s="19">
        <f t="shared" si="24"/>
        <v>167.48834637978709</v>
      </c>
      <c r="Q53" s="19">
        <v>997</v>
      </c>
      <c r="R53" s="19">
        <f t="shared" ref="R53" si="370">Q53*12</f>
        <v>11964</v>
      </c>
      <c r="S53" s="19"/>
      <c r="T53" s="19">
        <f t="shared" si="2"/>
        <v>840</v>
      </c>
      <c r="U53" s="19">
        <v>1000</v>
      </c>
      <c r="V53" s="19">
        <f t="shared" ref="V53" si="371">U53+T53</f>
        <v>1840</v>
      </c>
      <c r="W53" s="19">
        <v>226</v>
      </c>
      <c r="X53" s="19">
        <v>200</v>
      </c>
      <c r="Y53" s="19">
        <f t="shared" ref="Y53" si="372">R53*0.1</f>
        <v>1196.4000000000001</v>
      </c>
      <c r="Z53" s="19">
        <f t="shared" ref="Z53" si="373">R53*0.1</f>
        <v>1196.4000000000001</v>
      </c>
      <c r="AA53" s="19">
        <f t="shared" ref="AA53" si="374">Z53+Y53+X53</f>
        <v>2592.8000000000002</v>
      </c>
      <c r="AB53" s="19"/>
      <c r="AC53" s="19">
        <f t="shared" ref="AC53" si="375">R53-V53-AA53</f>
        <v>7531.2</v>
      </c>
      <c r="AD53" s="19"/>
      <c r="AE53" s="19">
        <f t="shared" ref="AE53" si="376">AC53-(P53*12)</f>
        <v>5521.3398434425544</v>
      </c>
      <c r="AF53" s="19"/>
      <c r="AG53" s="34">
        <f t="shared" ref="AG53" si="377">R53</f>
        <v>11964</v>
      </c>
      <c r="AH53" s="34">
        <f t="shared" ref="AH53" si="378">AG53-Z53</f>
        <v>10767.6</v>
      </c>
      <c r="AI53" s="35">
        <f t="shared" ref="AI53" si="379">(Y53+X53+V53+(P53*12))/AH53</f>
        <v>0.48722650883738666</v>
      </c>
      <c r="AJ53" s="34">
        <f t="shared" ref="AJ53" si="380">AC53-(P53*12)-(AC53*0.1)</f>
        <v>4768.2198434425545</v>
      </c>
      <c r="AK53" s="34">
        <f t="shared" ref="AK53" si="381">AJ53-(AJ53*0.06)</f>
        <v>4482.1266528360011</v>
      </c>
      <c r="AL53" s="36">
        <f t="shared" ref="AL53" si="382">AK53/N53</f>
        <v>0.57463162215846164</v>
      </c>
      <c r="AM53" s="36">
        <f t="shared" ref="AM53" si="383">AC53/J53</f>
        <v>0.19310769230769231</v>
      </c>
      <c r="AN53" s="36">
        <f t="shared" ref="AN53" si="384">(R53-(P53*12)-V53-AA53)/N53</f>
        <v>0.70786408249263533</v>
      </c>
      <c r="AO53" s="37">
        <f t="shared" ref="AO53" si="385">AC53/(P53*12)</f>
        <v>3.7471263736576024</v>
      </c>
      <c r="AP53" s="38">
        <f t="shared" ref="AP53" si="386">(O53/H53)</f>
        <v>0.53793103448275859</v>
      </c>
      <c r="AQ53" s="38">
        <f t="shared" ref="AQ53" si="387">100%-AP53</f>
        <v>0.46206896551724141</v>
      </c>
      <c r="AR53" s="34">
        <f t="shared" ref="AR53" si="388">AQ53*H53</f>
        <v>26800.000000000004</v>
      </c>
      <c r="AS53" s="39" t="b">
        <f t="shared" si="322"/>
        <v>1</v>
      </c>
      <c r="AT53" s="40">
        <v>40982</v>
      </c>
    </row>
    <row r="54" spans="1:46" s="4" customFormat="1">
      <c r="A54" s="3" t="s">
        <v>100</v>
      </c>
      <c r="B54" s="4" t="s">
        <v>67</v>
      </c>
      <c r="C54" s="4" t="s">
        <v>68</v>
      </c>
      <c r="D54" s="4">
        <v>29730</v>
      </c>
      <c r="E54" s="4">
        <v>0</v>
      </c>
      <c r="F54" s="19">
        <v>35027</v>
      </c>
      <c r="G54" s="19">
        <v>54400</v>
      </c>
      <c r="H54" s="19">
        <v>64000</v>
      </c>
      <c r="I54" s="19">
        <f t="shared" ref="I54" si="389">G54*0.85</f>
        <v>46240</v>
      </c>
      <c r="J54" s="19">
        <v>50000</v>
      </c>
      <c r="K54" s="11">
        <f t="shared" ref="K54" ca="1" si="390">TODAY()-AT54</f>
        <v>239</v>
      </c>
      <c r="L54" s="4">
        <v>3</v>
      </c>
      <c r="M54" s="4">
        <v>1</v>
      </c>
      <c r="N54" s="19">
        <f t="shared" ref="N54:N78" si="391">J54*0.2</f>
        <v>10000</v>
      </c>
      <c r="O54" s="19">
        <f t="shared" ref="O54" si="392">J54-N54</f>
        <v>40000</v>
      </c>
      <c r="P54" s="19">
        <f t="shared" ref="P54:P78" si="393">PMT(5%/12,360,O54,0)*-1</f>
        <v>214.72864920485526</v>
      </c>
      <c r="Q54" s="19">
        <v>997</v>
      </c>
      <c r="R54" s="19">
        <f t="shared" ref="R54" si="394">Q54*12</f>
        <v>11964</v>
      </c>
      <c r="S54" s="19"/>
      <c r="T54" s="19">
        <f t="shared" si="2"/>
        <v>840</v>
      </c>
      <c r="U54" s="19">
        <v>1000</v>
      </c>
      <c r="V54" s="19">
        <f t="shared" ref="V54" si="395">U54+T54</f>
        <v>1840</v>
      </c>
      <c r="W54" s="19">
        <v>227</v>
      </c>
      <c r="X54" s="19">
        <v>200</v>
      </c>
      <c r="Y54" s="19">
        <f t="shared" ref="Y54" si="396">R54*0.1</f>
        <v>1196.4000000000001</v>
      </c>
      <c r="Z54" s="19">
        <f t="shared" ref="Z54" si="397">R54*0.1</f>
        <v>1196.4000000000001</v>
      </c>
      <c r="AA54" s="19">
        <f t="shared" ref="AA54" si="398">Z54+Y54+X54</f>
        <v>2592.8000000000002</v>
      </c>
      <c r="AB54" s="19"/>
      <c r="AC54" s="19">
        <f t="shared" ref="AC54" si="399">R54-V54-AA54</f>
        <v>7531.2</v>
      </c>
      <c r="AD54" s="19"/>
      <c r="AE54" s="19">
        <f t="shared" ref="AE54" si="400">AC54-(P54*12)</f>
        <v>4954.4562095417368</v>
      </c>
      <c r="AF54" s="19"/>
      <c r="AG54" s="34">
        <f t="shared" ref="AG54" si="401">R54</f>
        <v>11964</v>
      </c>
      <c r="AH54" s="34">
        <f t="shared" ref="AH54" si="402">AG54-Z54</f>
        <v>10767.6</v>
      </c>
      <c r="AI54" s="35">
        <f t="shared" ref="AI54" si="403">(Y54+X54+V54+(P54*12))/AH54</f>
        <v>0.53987367569915889</v>
      </c>
      <c r="AJ54" s="34">
        <f t="shared" ref="AJ54" si="404">AC54-(P54*12)-(AC54*0.1)</f>
        <v>4201.3362095417369</v>
      </c>
      <c r="AK54" s="34">
        <f t="shared" ref="AK54" si="405">AJ54-(AJ54*0.06)</f>
        <v>3949.2560369692328</v>
      </c>
      <c r="AL54" s="36">
        <f t="shared" ref="AL54" si="406">AK54/N54</f>
        <v>0.39492560369692326</v>
      </c>
      <c r="AM54" s="36">
        <f t="shared" ref="AM54" si="407">AC54/J54</f>
        <v>0.15062400000000001</v>
      </c>
      <c r="AN54" s="36">
        <f t="shared" ref="AN54" si="408">(R54-(P54*12)-V54-AA54)/N54</f>
        <v>0.49544562095417377</v>
      </c>
      <c r="AO54" s="37">
        <f t="shared" ref="AO54" si="409">AC54/(P54*12)</f>
        <v>2.9227585714529298</v>
      </c>
      <c r="AP54" s="38">
        <f t="shared" ref="AP54" si="410">(O54/H54)</f>
        <v>0.625</v>
      </c>
      <c r="AQ54" s="38">
        <f t="shared" ref="AQ54" si="411">100%-AP54</f>
        <v>0.375</v>
      </c>
      <c r="AR54" s="34">
        <f t="shared" ref="AR54" si="412">AQ54*H54</f>
        <v>24000</v>
      </c>
      <c r="AS54" s="39" t="b">
        <f t="shared" si="322"/>
        <v>1</v>
      </c>
      <c r="AT54" s="40">
        <v>40815</v>
      </c>
    </row>
    <row r="55" spans="1:46" s="4" customFormat="1">
      <c r="A55" s="3" t="s">
        <v>101</v>
      </c>
      <c r="B55" s="4" t="s">
        <v>67</v>
      </c>
      <c r="C55" s="4" t="s">
        <v>68</v>
      </c>
      <c r="D55" s="4">
        <v>29730</v>
      </c>
      <c r="E55" s="4">
        <v>1078493</v>
      </c>
      <c r="F55" s="19">
        <v>35028</v>
      </c>
      <c r="G55" s="19">
        <v>59900</v>
      </c>
      <c r="H55" s="19">
        <v>73000</v>
      </c>
      <c r="I55" s="19">
        <f t="shared" ref="I55" si="413">G55*0.85</f>
        <v>50915</v>
      </c>
      <c r="J55" s="19">
        <v>51000</v>
      </c>
      <c r="K55" s="11">
        <f t="shared" ref="K55" ca="1" si="414">TODAY()-AT55</f>
        <v>202</v>
      </c>
      <c r="L55" s="4">
        <v>3</v>
      </c>
      <c r="M55" s="4">
        <v>1</v>
      </c>
      <c r="N55" s="19">
        <f t="shared" si="391"/>
        <v>10200</v>
      </c>
      <c r="O55" s="19">
        <f t="shared" ref="O55" si="415">J55-N55</f>
        <v>40800</v>
      </c>
      <c r="P55" s="19">
        <f t="shared" si="393"/>
        <v>219.02322218895236</v>
      </c>
      <c r="Q55" s="19">
        <v>997</v>
      </c>
      <c r="R55" s="19">
        <f t="shared" ref="R55" si="416">Q55*12</f>
        <v>11964</v>
      </c>
      <c r="S55" s="19"/>
      <c r="T55" s="19">
        <f t="shared" si="2"/>
        <v>840</v>
      </c>
      <c r="U55" s="19">
        <v>1000</v>
      </c>
      <c r="V55" s="19">
        <f t="shared" ref="V55" si="417">U55+T55</f>
        <v>1840</v>
      </c>
      <c r="W55" s="19">
        <v>228</v>
      </c>
      <c r="X55" s="19">
        <v>200</v>
      </c>
      <c r="Y55" s="19">
        <f t="shared" ref="Y55" si="418">R55*0.1</f>
        <v>1196.4000000000001</v>
      </c>
      <c r="Z55" s="19">
        <f t="shared" ref="Z55" si="419">R55*0.1</f>
        <v>1196.4000000000001</v>
      </c>
      <c r="AA55" s="19">
        <f t="shared" ref="AA55" si="420">Z55+Y55+X55</f>
        <v>2592.8000000000002</v>
      </c>
      <c r="AB55" s="19"/>
      <c r="AC55" s="19">
        <f t="shared" ref="AC55" si="421">R55-V55-AA55</f>
        <v>7531.2</v>
      </c>
      <c r="AD55" s="19"/>
      <c r="AE55" s="19">
        <f t="shared" ref="AE55" si="422">AC55-(P55*12)</f>
        <v>4902.9213337325709</v>
      </c>
      <c r="AF55" s="19"/>
      <c r="AG55" s="34">
        <f t="shared" ref="AG55" si="423">R55</f>
        <v>11964</v>
      </c>
      <c r="AH55" s="34">
        <f t="shared" ref="AH55" si="424">AG55-Z55</f>
        <v>10767.6</v>
      </c>
      <c r="AI55" s="35">
        <f t="shared" ref="AI55" si="425">(Y55+X55+V55+(P55*12))/AH55</f>
        <v>0.54465978177750185</v>
      </c>
      <c r="AJ55" s="34">
        <f t="shared" ref="AJ55" si="426">AC55-(P55*12)-(AC55*0.1)</f>
        <v>4149.801333732571</v>
      </c>
      <c r="AK55" s="34">
        <f t="shared" ref="AK55" si="427">AJ55-(AJ55*0.06)</f>
        <v>3900.8132537086167</v>
      </c>
      <c r="AL55" s="36">
        <f t="shared" ref="AL55" si="428">AK55/N55</f>
        <v>0.38243267193221731</v>
      </c>
      <c r="AM55" s="36">
        <f t="shared" ref="AM55" si="429">AC55/J55</f>
        <v>0.14767058823529411</v>
      </c>
      <c r="AN55" s="36">
        <f t="shared" ref="AN55" si="430">(R55-(P55*12)-V55-AA55)/N55</f>
        <v>0.4806785621306443</v>
      </c>
      <c r="AO55" s="37">
        <f t="shared" ref="AO55" si="431">AC55/(P55*12)</f>
        <v>2.8654495798558131</v>
      </c>
      <c r="AP55" s="38">
        <f t="shared" ref="AP55" si="432">(O55/H55)</f>
        <v>0.55890410958904113</v>
      </c>
      <c r="AQ55" s="38">
        <f t="shared" ref="AQ55" si="433">100%-AP55</f>
        <v>0.44109589041095887</v>
      </c>
      <c r="AR55" s="34">
        <f t="shared" ref="AR55" si="434">AQ55*H55</f>
        <v>32199.999999999996</v>
      </c>
      <c r="AS55" s="39" t="b">
        <f t="shared" si="322"/>
        <v>1</v>
      </c>
      <c r="AT55" s="40">
        <v>40852</v>
      </c>
    </row>
    <row r="56" spans="1:46" s="4" customFormat="1">
      <c r="A56" s="3" t="s">
        <v>102</v>
      </c>
      <c r="B56" s="4" t="s">
        <v>67</v>
      </c>
      <c r="C56" s="4" t="s">
        <v>68</v>
      </c>
      <c r="D56" s="4">
        <v>29730</v>
      </c>
      <c r="E56" s="4">
        <v>999142</v>
      </c>
      <c r="F56" s="19">
        <v>35029</v>
      </c>
      <c r="G56" s="19">
        <v>59900</v>
      </c>
      <c r="H56" s="19">
        <v>82000</v>
      </c>
      <c r="I56" s="19">
        <f t="shared" ref="I56" si="435">G56*0.85</f>
        <v>50915</v>
      </c>
      <c r="J56" s="19">
        <v>51000</v>
      </c>
      <c r="K56" s="11">
        <f t="shared" ref="K56" ca="1" si="436">TODAY()-AT56</f>
        <v>253</v>
      </c>
      <c r="L56" s="4">
        <v>3</v>
      </c>
      <c r="M56" s="4">
        <v>2</v>
      </c>
      <c r="N56" s="19">
        <f t="shared" si="391"/>
        <v>10200</v>
      </c>
      <c r="O56" s="19">
        <f t="shared" ref="O56" si="437">J56-N56</f>
        <v>40800</v>
      </c>
      <c r="P56" s="19">
        <f t="shared" si="393"/>
        <v>219.02322218895236</v>
      </c>
      <c r="Q56" s="19">
        <v>997</v>
      </c>
      <c r="R56" s="19">
        <f t="shared" ref="R56" si="438">Q56*12</f>
        <v>11964</v>
      </c>
      <c r="S56" s="19"/>
      <c r="T56" s="19">
        <f t="shared" si="2"/>
        <v>840</v>
      </c>
      <c r="U56" s="19">
        <v>1000</v>
      </c>
      <c r="V56" s="19">
        <f t="shared" ref="V56" si="439">U56+T56</f>
        <v>1840</v>
      </c>
      <c r="W56" s="19">
        <v>229</v>
      </c>
      <c r="X56" s="19">
        <v>200</v>
      </c>
      <c r="Y56" s="19">
        <f t="shared" ref="Y56" si="440">R56*0.1</f>
        <v>1196.4000000000001</v>
      </c>
      <c r="Z56" s="19">
        <f t="shared" ref="Z56" si="441">R56*0.1</f>
        <v>1196.4000000000001</v>
      </c>
      <c r="AA56" s="19">
        <f t="shared" ref="AA56" si="442">Z56+Y56+X56</f>
        <v>2592.8000000000002</v>
      </c>
      <c r="AB56" s="19"/>
      <c r="AC56" s="19">
        <f t="shared" ref="AC56" si="443">R56-V56-AA56</f>
        <v>7531.2</v>
      </c>
      <c r="AD56" s="19"/>
      <c r="AE56" s="19">
        <f t="shared" ref="AE56" si="444">AC56-(P56*12)</f>
        <v>4902.9213337325709</v>
      </c>
      <c r="AF56" s="19"/>
      <c r="AG56" s="34">
        <f t="shared" ref="AG56" si="445">R56</f>
        <v>11964</v>
      </c>
      <c r="AH56" s="34">
        <f t="shared" ref="AH56" si="446">AG56-Z56</f>
        <v>10767.6</v>
      </c>
      <c r="AI56" s="35">
        <f t="shared" ref="AI56" si="447">(Y56+X56+V56+(P56*12))/AH56</f>
        <v>0.54465978177750185</v>
      </c>
      <c r="AJ56" s="34">
        <f t="shared" ref="AJ56" si="448">AC56-(P56*12)-(AC56*0.1)</f>
        <v>4149.801333732571</v>
      </c>
      <c r="AK56" s="34">
        <f t="shared" ref="AK56" si="449">AJ56-(AJ56*0.06)</f>
        <v>3900.8132537086167</v>
      </c>
      <c r="AL56" s="36">
        <f t="shared" ref="AL56" si="450">AK56/N56</f>
        <v>0.38243267193221731</v>
      </c>
      <c r="AM56" s="36">
        <f t="shared" ref="AM56" si="451">AC56/J56</f>
        <v>0.14767058823529411</v>
      </c>
      <c r="AN56" s="36">
        <f t="shared" ref="AN56" si="452">(R56-(P56*12)-V56-AA56)/N56</f>
        <v>0.4806785621306443</v>
      </c>
      <c r="AO56" s="37">
        <f t="shared" ref="AO56" si="453">AC56/(P56*12)</f>
        <v>2.8654495798558131</v>
      </c>
      <c r="AP56" s="38">
        <f t="shared" ref="AP56" si="454">(O56/H56)</f>
        <v>0.4975609756097561</v>
      </c>
      <c r="AQ56" s="38">
        <f t="shared" ref="AQ56" si="455">100%-AP56</f>
        <v>0.5024390243902439</v>
      </c>
      <c r="AR56" s="34">
        <f t="shared" ref="AR56" si="456">AQ56*H56</f>
        <v>41200</v>
      </c>
      <c r="AS56" s="39" t="b">
        <f t="shared" si="322"/>
        <v>1</v>
      </c>
      <c r="AT56" s="40">
        <v>40801</v>
      </c>
    </row>
    <row r="57" spans="1:46" s="4" customFormat="1">
      <c r="A57" s="3" t="s">
        <v>103</v>
      </c>
      <c r="B57" s="4" t="s">
        <v>67</v>
      </c>
      <c r="C57" s="4" t="s">
        <v>68</v>
      </c>
      <c r="D57" s="4">
        <v>29730</v>
      </c>
      <c r="E57" s="4">
        <v>0</v>
      </c>
      <c r="F57" s="19">
        <v>35030</v>
      </c>
      <c r="G57" s="19">
        <v>60400</v>
      </c>
      <c r="H57" s="19">
        <v>91500</v>
      </c>
      <c r="I57" s="19">
        <f t="shared" ref="I57" si="457">G57*0.85</f>
        <v>51340</v>
      </c>
      <c r="J57" s="19">
        <v>53000</v>
      </c>
      <c r="K57" s="11">
        <f t="shared" ref="K57" ca="1" si="458">TODAY()-AT57</f>
        <v>777</v>
      </c>
      <c r="L57" s="4">
        <v>3</v>
      </c>
      <c r="M57" s="4">
        <v>1</v>
      </c>
      <c r="N57" s="19">
        <f t="shared" si="391"/>
        <v>10600</v>
      </c>
      <c r="O57" s="19">
        <f t="shared" ref="O57" si="459">J57-N57</f>
        <v>42400</v>
      </c>
      <c r="P57" s="19">
        <f t="shared" si="393"/>
        <v>227.61236815714656</v>
      </c>
      <c r="Q57" s="19">
        <v>997</v>
      </c>
      <c r="R57" s="19">
        <f t="shared" ref="R57" si="460">Q57*12</f>
        <v>11964</v>
      </c>
      <c r="S57" s="19"/>
      <c r="T57" s="19">
        <f t="shared" si="2"/>
        <v>840</v>
      </c>
      <c r="U57" s="19">
        <v>1000</v>
      </c>
      <c r="V57" s="19">
        <f t="shared" ref="V57" si="461">U57+T57</f>
        <v>1840</v>
      </c>
      <c r="W57" s="19">
        <v>230</v>
      </c>
      <c r="X57" s="19">
        <v>200</v>
      </c>
      <c r="Y57" s="19">
        <f t="shared" ref="Y57" si="462">R57*0.1</f>
        <v>1196.4000000000001</v>
      </c>
      <c r="Z57" s="19">
        <f t="shared" ref="Z57" si="463">R57*0.1</f>
        <v>1196.4000000000001</v>
      </c>
      <c r="AA57" s="19">
        <f t="shared" ref="AA57" si="464">Z57+Y57+X57</f>
        <v>2592.8000000000002</v>
      </c>
      <c r="AB57" s="19"/>
      <c r="AC57" s="19">
        <f t="shared" ref="AC57" si="465">R57-V57-AA57</f>
        <v>7531.2</v>
      </c>
      <c r="AD57" s="19"/>
      <c r="AE57" s="19">
        <f t="shared" ref="AE57" si="466">AC57-(P57*12)</f>
        <v>4799.851582114241</v>
      </c>
      <c r="AF57" s="19"/>
      <c r="AG57" s="34">
        <f t="shared" ref="AG57" si="467">R57</f>
        <v>11964</v>
      </c>
      <c r="AH57" s="34">
        <f t="shared" ref="AH57" si="468">AG57-Z57</f>
        <v>10767.6</v>
      </c>
      <c r="AI57" s="35">
        <f t="shared" ref="AI57" si="469">(Y57+X57+V57+(P57*12))/AH57</f>
        <v>0.55423199393418765</v>
      </c>
      <c r="AJ57" s="34">
        <f t="shared" ref="AJ57" si="470">AC57-(P57*12)-(AC57*0.1)</f>
        <v>4046.7315821142411</v>
      </c>
      <c r="AK57" s="34">
        <f t="shared" ref="AK57" si="471">AJ57-(AJ57*0.06)</f>
        <v>3803.9276871873867</v>
      </c>
      <c r="AL57" s="36">
        <f t="shared" ref="AL57" si="472">AK57/N57</f>
        <v>0.35886110256484782</v>
      </c>
      <c r="AM57" s="36">
        <f t="shared" ref="AM57" si="473">AC57/J57</f>
        <v>0.14209811320754717</v>
      </c>
      <c r="AN57" s="36">
        <f t="shared" ref="AN57" si="474">(R57-(P57*12)-V57-AA57)/N57</f>
        <v>0.45281618699190962</v>
      </c>
      <c r="AO57" s="37">
        <f t="shared" ref="AO57" si="475">AC57/(P57*12)</f>
        <v>2.7573194070310656</v>
      </c>
      <c r="AP57" s="38">
        <f t="shared" ref="AP57" si="476">(O57/H57)</f>
        <v>0.4633879781420765</v>
      </c>
      <c r="AQ57" s="38">
        <f t="shared" ref="AQ57" si="477">100%-AP57</f>
        <v>0.53661202185792356</v>
      </c>
      <c r="AR57" s="34">
        <f t="shared" ref="AR57" si="478">AQ57*H57</f>
        <v>49100.000000000007</v>
      </c>
      <c r="AS57" s="39" t="b">
        <f t="shared" si="322"/>
        <v>1</v>
      </c>
      <c r="AT57" s="40">
        <v>40277</v>
      </c>
    </row>
    <row r="58" spans="1:46" s="4" customFormat="1">
      <c r="A58" s="3" t="s">
        <v>104</v>
      </c>
      <c r="B58" s="4" t="s">
        <v>67</v>
      </c>
      <c r="C58" s="4" t="s">
        <v>68</v>
      </c>
      <c r="D58" s="4">
        <v>29732</v>
      </c>
      <c r="E58" s="4">
        <v>1078833</v>
      </c>
      <c r="F58" s="19">
        <v>35031</v>
      </c>
      <c r="G58" s="19">
        <v>34900</v>
      </c>
      <c r="H58" s="19">
        <v>45000</v>
      </c>
      <c r="I58" s="19">
        <f t="shared" ref="I58" si="479">G58*0.85</f>
        <v>29665</v>
      </c>
      <c r="J58" s="19">
        <v>31000</v>
      </c>
      <c r="K58" s="11">
        <f t="shared" ref="K58" ca="1" si="480">TODAY()-AT58</f>
        <v>176</v>
      </c>
      <c r="L58" s="4">
        <v>3</v>
      </c>
      <c r="M58" s="4">
        <v>1</v>
      </c>
      <c r="N58" s="19">
        <f t="shared" si="391"/>
        <v>6200</v>
      </c>
      <c r="O58" s="19">
        <f t="shared" ref="O58" si="481">J58-N58</f>
        <v>24800</v>
      </c>
      <c r="P58" s="19">
        <f t="shared" si="393"/>
        <v>133.13176250701025</v>
      </c>
      <c r="Q58" s="19">
        <v>997</v>
      </c>
      <c r="R58" s="19">
        <f t="shared" ref="R58" si="482">Q58*12</f>
        <v>11964</v>
      </c>
      <c r="S58" s="19"/>
      <c r="T58" s="19">
        <f t="shared" si="2"/>
        <v>840</v>
      </c>
      <c r="U58" s="19">
        <v>1000</v>
      </c>
      <c r="V58" s="19">
        <f t="shared" ref="V58" si="483">U58+T58</f>
        <v>1840</v>
      </c>
      <c r="W58" s="19">
        <v>231</v>
      </c>
      <c r="X58" s="19">
        <v>200</v>
      </c>
      <c r="Y58" s="19">
        <f t="shared" ref="Y58" si="484">R58*0.1</f>
        <v>1196.4000000000001</v>
      </c>
      <c r="Z58" s="19">
        <f t="shared" ref="Z58" si="485">R58*0.1</f>
        <v>1196.4000000000001</v>
      </c>
      <c r="AA58" s="19">
        <f t="shared" ref="AA58" si="486">Z58+Y58+X58</f>
        <v>2592.8000000000002</v>
      </c>
      <c r="AB58" s="19"/>
      <c r="AC58" s="19">
        <f t="shared" ref="AC58" si="487">R58-V58-AA58</f>
        <v>7531.2</v>
      </c>
      <c r="AD58" s="19"/>
      <c r="AE58" s="19">
        <f t="shared" ref="AE58" si="488">AC58-(P58*12)</f>
        <v>5933.618849915877</v>
      </c>
      <c r="AF58" s="19"/>
      <c r="AG58" s="34">
        <f t="shared" ref="AG58" si="489">R58</f>
        <v>11964</v>
      </c>
      <c r="AH58" s="34">
        <f t="shared" ref="AH58" si="490">AG58-Z58</f>
        <v>10767.6</v>
      </c>
      <c r="AI58" s="35">
        <f t="shared" ref="AI58" si="491">(Y58+X58+V58+(P58*12))/AH58</f>
        <v>0.44893766021064335</v>
      </c>
      <c r="AJ58" s="34">
        <f t="shared" ref="AJ58" si="492">AC58-(P58*12)-(AC58*0.1)</f>
        <v>5180.4988499158771</v>
      </c>
      <c r="AK58" s="34">
        <f t="shared" ref="AK58" si="493">AJ58-(AJ58*0.06)</f>
        <v>4869.6689189209246</v>
      </c>
      <c r="AL58" s="36">
        <f t="shared" ref="AL58" si="494">AK58/N58</f>
        <v>0.78543047079369754</v>
      </c>
      <c r="AM58" s="36">
        <f t="shared" ref="AM58" si="495">AC58/J58</f>
        <v>0.24294193548387097</v>
      </c>
      <c r="AN58" s="36">
        <f t="shared" ref="AN58" si="496">(R58-(P58*12)-V58-AA58)/N58</f>
        <v>0.95703529837352852</v>
      </c>
      <c r="AO58" s="37">
        <f t="shared" ref="AO58" si="497">AC58/(P58*12)</f>
        <v>4.7141267281498864</v>
      </c>
      <c r="AP58" s="38">
        <f t="shared" ref="AP58" si="498">(O58/H58)</f>
        <v>0.55111111111111111</v>
      </c>
      <c r="AQ58" s="38">
        <f t="shared" ref="AQ58" si="499">100%-AP58</f>
        <v>0.44888888888888889</v>
      </c>
      <c r="AR58" s="34">
        <f t="shared" ref="AR58" si="500">AQ58*H58</f>
        <v>20200</v>
      </c>
      <c r="AS58" s="39" t="b">
        <f t="shared" si="322"/>
        <v>1</v>
      </c>
      <c r="AT58" s="40">
        <v>40878</v>
      </c>
    </row>
    <row r="59" spans="1:46" s="4" customFormat="1">
      <c r="A59" s="3" t="s">
        <v>105</v>
      </c>
      <c r="B59" s="4" t="s">
        <v>106</v>
      </c>
      <c r="C59" s="4" t="s">
        <v>68</v>
      </c>
      <c r="D59" s="4">
        <v>29169</v>
      </c>
      <c r="E59" s="4">
        <v>305948</v>
      </c>
      <c r="F59" s="19">
        <v>35037</v>
      </c>
      <c r="G59" s="19">
        <v>190000</v>
      </c>
      <c r="H59" s="19">
        <v>180000</v>
      </c>
      <c r="I59" s="19">
        <f t="shared" ref="I59" si="501">G59*0.85</f>
        <v>161500</v>
      </c>
      <c r="J59" s="19">
        <v>170000</v>
      </c>
      <c r="K59" s="11">
        <f t="shared" ref="K59" ca="1" si="502">TODAY()-AT59</f>
        <v>94</v>
      </c>
      <c r="L59" s="4">
        <v>8</v>
      </c>
      <c r="M59" s="4">
        <v>4</v>
      </c>
      <c r="N59" s="19">
        <f t="shared" si="391"/>
        <v>34000</v>
      </c>
      <c r="O59" s="19">
        <f t="shared" ref="O59" si="503">J59-N59</f>
        <v>136000</v>
      </c>
      <c r="P59" s="19">
        <f t="shared" si="393"/>
        <v>730.07740729650789</v>
      </c>
      <c r="Q59" s="19">
        <v>2100</v>
      </c>
      <c r="R59" s="19">
        <f t="shared" ref="R59" si="504">Q59*12</f>
        <v>25200</v>
      </c>
      <c r="S59" s="19"/>
      <c r="T59" s="19">
        <f t="shared" si="2"/>
        <v>840</v>
      </c>
      <c r="U59" s="19">
        <v>3246</v>
      </c>
      <c r="V59" s="19">
        <f t="shared" ref="V59" si="505">U59+T59</f>
        <v>4086</v>
      </c>
      <c r="W59" s="19">
        <v>237</v>
      </c>
      <c r="X59" s="19">
        <v>200</v>
      </c>
      <c r="Y59" s="19">
        <f t="shared" ref="Y59" si="506">R59*0.1</f>
        <v>2520</v>
      </c>
      <c r="Z59" s="19">
        <f t="shared" ref="Z59" si="507">R59*0.1</f>
        <v>2520</v>
      </c>
      <c r="AA59" s="19">
        <f t="shared" ref="AA59" si="508">Z59+Y59+X59</f>
        <v>5240</v>
      </c>
      <c r="AB59" s="19"/>
      <c r="AC59" s="19">
        <f t="shared" ref="AC59" si="509">R59-V59-AA59</f>
        <v>15874</v>
      </c>
      <c r="AD59" s="19"/>
      <c r="AE59" s="19">
        <f t="shared" ref="AE59" si="510">AC59-(P59*12)</f>
        <v>7113.0711124419049</v>
      </c>
      <c r="AF59" s="19"/>
      <c r="AG59" s="34">
        <f t="shared" ref="AG59" si="511">R59</f>
        <v>25200</v>
      </c>
      <c r="AH59" s="34">
        <f t="shared" ref="AH59" si="512">AG59-Z59</f>
        <v>22680</v>
      </c>
      <c r="AI59" s="35">
        <f t="shared" ref="AI59" si="513">(Y59+X59+V59+(P59*12))/AH59</f>
        <v>0.6863725259064416</v>
      </c>
      <c r="AJ59" s="34">
        <f t="shared" ref="AJ59" si="514">AC59-(P59*12)-(AC59*0.1)</f>
        <v>5525.6711124419053</v>
      </c>
      <c r="AK59" s="34">
        <f t="shared" ref="AK59" si="515">AJ59-(AJ59*0.06)</f>
        <v>5194.1308456953911</v>
      </c>
      <c r="AL59" s="36">
        <f t="shared" ref="AL59" si="516">AK59/N59</f>
        <v>0.15276855428515856</v>
      </c>
      <c r="AM59" s="36">
        <f t="shared" ref="AM59" si="517">AC59/J59</f>
        <v>9.3376470588235297E-2</v>
      </c>
      <c r="AN59" s="36">
        <f t="shared" ref="AN59" si="518">(R59-(P59*12)-V59-AA59)/N59</f>
        <v>0.20920797389535009</v>
      </c>
      <c r="AO59" s="37">
        <f t="shared" ref="AO59" si="519">AC59/(P59*12)</f>
        <v>1.8119083265866467</v>
      </c>
      <c r="AP59" s="38">
        <f t="shared" ref="AP59" si="520">(O59/H59)</f>
        <v>0.75555555555555554</v>
      </c>
      <c r="AQ59" s="38">
        <f t="shared" ref="AQ59" si="521">100%-AP59</f>
        <v>0.24444444444444446</v>
      </c>
      <c r="AR59" s="34">
        <f t="shared" ref="AR59" si="522">AQ59*H59</f>
        <v>44000</v>
      </c>
      <c r="AS59" s="39" t="b">
        <f t="shared" si="322"/>
        <v>1</v>
      </c>
      <c r="AT59" s="40">
        <v>40960</v>
      </c>
    </row>
    <row r="60" spans="1:46" s="4" customFormat="1">
      <c r="A60" s="3" t="s">
        <v>107</v>
      </c>
      <c r="B60" s="4" t="s">
        <v>93</v>
      </c>
      <c r="C60" s="4" t="s">
        <v>68</v>
      </c>
      <c r="D60" s="4">
        <v>29210</v>
      </c>
      <c r="E60" s="4">
        <v>303840</v>
      </c>
      <c r="F60" s="19">
        <v>35038</v>
      </c>
      <c r="G60" s="19">
        <v>300000</v>
      </c>
      <c r="H60" s="19">
        <v>257600</v>
      </c>
      <c r="I60" s="19">
        <f t="shared" ref="I60" si="523">G60*0.85</f>
        <v>255000</v>
      </c>
      <c r="J60" s="19">
        <v>225000</v>
      </c>
      <c r="K60" s="11">
        <f t="shared" ref="K60" ca="1" si="524">TODAY()-AT60</f>
        <v>490</v>
      </c>
      <c r="L60" s="4">
        <v>14</v>
      </c>
      <c r="M60" s="4">
        <v>7</v>
      </c>
      <c r="N60" s="19">
        <f t="shared" si="391"/>
        <v>45000</v>
      </c>
      <c r="O60" s="19">
        <f t="shared" ref="O60" si="525">J60-N60</f>
        <v>180000</v>
      </c>
      <c r="P60" s="19">
        <f t="shared" si="393"/>
        <v>966.27892142184862</v>
      </c>
      <c r="Q60" s="19">
        <v>4025</v>
      </c>
      <c r="R60" s="19">
        <f t="shared" ref="R60" si="526">Q60*12</f>
        <v>48300</v>
      </c>
      <c r="S60" s="19"/>
      <c r="T60" s="19">
        <f t="shared" si="2"/>
        <v>840</v>
      </c>
      <c r="U60" s="19">
        <v>6399</v>
      </c>
      <c r="V60" s="19">
        <f t="shared" ref="V60" si="527">U60+T60</f>
        <v>7239</v>
      </c>
      <c r="W60" s="19">
        <v>238</v>
      </c>
      <c r="X60" s="19">
        <v>200</v>
      </c>
      <c r="Y60" s="19">
        <f t="shared" ref="Y60" si="528">R60*0.1</f>
        <v>4830</v>
      </c>
      <c r="Z60" s="19">
        <f t="shared" ref="Z60" si="529">R60*0.1</f>
        <v>4830</v>
      </c>
      <c r="AA60" s="19">
        <f t="shared" ref="AA60" si="530">Z60+Y60+X60</f>
        <v>9860</v>
      </c>
      <c r="AB60" s="19"/>
      <c r="AC60" s="19">
        <f t="shared" ref="AC60" si="531">R60-V60-AA60</f>
        <v>31201</v>
      </c>
      <c r="AD60" s="19"/>
      <c r="AE60" s="19">
        <f t="shared" ref="AE60" si="532">AC60-(P60*12)</f>
        <v>19605.652942937817</v>
      </c>
      <c r="AF60" s="19"/>
      <c r="AG60" s="34">
        <f t="shared" ref="AG60" si="533">R60</f>
        <v>48300</v>
      </c>
      <c r="AH60" s="34">
        <f t="shared" ref="AH60" si="534">AG60-Z60</f>
        <v>43470</v>
      </c>
      <c r="AI60" s="35">
        <f t="shared" ref="AI60" si="535">(Y60+X60+V60+(P60*12))/AH60</f>
        <v>0.5489842893274024</v>
      </c>
      <c r="AJ60" s="34">
        <f t="shared" ref="AJ60" si="536">AC60-(P60*12)-(AC60*0.1)</f>
        <v>16485.552942937815</v>
      </c>
      <c r="AK60" s="34">
        <f t="shared" ref="AK60" si="537">AJ60-(AJ60*0.06)</f>
        <v>15496.419766361545</v>
      </c>
      <c r="AL60" s="36">
        <f t="shared" ref="AL60" si="538">AK60/N60</f>
        <v>0.3443648836969232</v>
      </c>
      <c r="AM60" s="36">
        <f t="shared" ref="AM60" si="539">AC60/J60</f>
        <v>0.13867111111111111</v>
      </c>
      <c r="AN60" s="36">
        <f t="shared" ref="AN60" si="540">(R60-(P60*12)-V60-AA60)/N60</f>
        <v>0.43568117650972921</v>
      </c>
      <c r="AO60" s="37">
        <f t="shared" ref="AO60" si="541">AC60/(P60*12)</f>
        <v>2.6908207099326908</v>
      </c>
      <c r="AP60" s="38">
        <f t="shared" ref="AP60" si="542">(O60/H60)</f>
        <v>0.69875776397515532</v>
      </c>
      <c r="AQ60" s="38">
        <f t="shared" ref="AQ60" si="543">100%-AP60</f>
        <v>0.30124223602484468</v>
      </c>
      <c r="AR60" s="34">
        <f t="shared" ref="AR60" si="544">AQ60*H60</f>
        <v>77599.999999999985</v>
      </c>
      <c r="AS60" s="39" t="b">
        <f t="shared" si="322"/>
        <v>1</v>
      </c>
      <c r="AT60" s="40">
        <v>40564</v>
      </c>
    </row>
    <row r="61" spans="1:46" s="4" customFormat="1">
      <c r="A61" s="3" t="s">
        <v>108</v>
      </c>
      <c r="B61" s="4" t="s">
        <v>93</v>
      </c>
      <c r="C61" s="4" t="s">
        <v>68</v>
      </c>
      <c r="D61" s="4">
        <v>29205</v>
      </c>
      <c r="E61" s="4">
        <v>283252</v>
      </c>
      <c r="F61" s="19">
        <v>35039</v>
      </c>
      <c r="G61" s="19">
        <v>529000</v>
      </c>
      <c r="H61" s="19">
        <v>529000</v>
      </c>
      <c r="I61" s="19">
        <f t="shared" ref="I61" si="545">G61*0.85</f>
        <v>449650</v>
      </c>
      <c r="J61" s="19">
        <v>500000</v>
      </c>
      <c r="K61" s="11">
        <f t="shared" ref="K61" ca="1" si="546">TODAY()-AT61</f>
        <v>476</v>
      </c>
      <c r="L61" s="4">
        <v>26</v>
      </c>
      <c r="M61" s="4">
        <v>21</v>
      </c>
      <c r="N61" s="19">
        <f t="shared" si="391"/>
        <v>100000</v>
      </c>
      <c r="O61" s="19">
        <f t="shared" ref="O61" si="547">J61-N61</f>
        <v>400000</v>
      </c>
      <c r="P61" s="19">
        <f t="shared" si="393"/>
        <v>2147.2864920485526</v>
      </c>
      <c r="Q61" s="19">
        <v>8575</v>
      </c>
      <c r="R61" s="19">
        <f t="shared" ref="R61" si="548">Q61*12</f>
        <v>102900</v>
      </c>
      <c r="S61" s="19"/>
      <c r="T61" s="19">
        <f t="shared" si="2"/>
        <v>840</v>
      </c>
      <c r="U61" s="19">
        <v>5307</v>
      </c>
      <c r="V61" s="19">
        <f t="shared" ref="V61" si="549">U61+T61</f>
        <v>6147</v>
      </c>
      <c r="W61" s="19">
        <v>239</v>
      </c>
      <c r="X61" s="19">
        <v>200</v>
      </c>
      <c r="Y61" s="19">
        <f t="shared" ref="Y61" si="550">R61*0.1</f>
        <v>10290</v>
      </c>
      <c r="Z61" s="19">
        <f t="shared" ref="Z61" si="551">R61*0.1</f>
        <v>10290</v>
      </c>
      <c r="AA61" s="19">
        <f t="shared" ref="AA61" si="552">Z61+Y61+X61</f>
        <v>20780</v>
      </c>
      <c r="AB61" s="19"/>
      <c r="AC61" s="19">
        <f t="shared" ref="AC61" si="553">R61-V61-AA61</f>
        <v>75973</v>
      </c>
      <c r="AD61" s="19"/>
      <c r="AE61" s="19">
        <f t="shared" ref="AE61" si="554">AC61-(P61*12)</f>
        <v>50205.562095417365</v>
      </c>
      <c r="AF61" s="19"/>
      <c r="AG61" s="34">
        <f t="shared" ref="AG61" si="555">R61</f>
        <v>102900</v>
      </c>
      <c r="AH61" s="34">
        <f t="shared" ref="AH61" si="556">AG61-Z61</f>
        <v>92610</v>
      </c>
      <c r="AI61" s="35">
        <f t="shared" ref="AI61" si="557">(Y61+X61+V61+(P61*12))/AH61</f>
        <v>0.45788184758214701</v>
      </c>
      <c r="AJ61" s="34">
        <f t="shared" ref="AJ61" si="558">AC61-(P61*12)-(AC61*0.1)</f>
        <v>42608.262095417362</v>
      </c>
      <c r="AK61" s="34">
        <f t="shared" ref="AK61" si="559">AJ61-(AJ61*0.06)</f>
        <v>40051.766369692319</v>
      </c>
      <c r="AL61" s="36">
        <f t="shared" ref="AL61" si="560">AK61/N61</f>
        <v>0.40051766369692321</v>
      </c>
      <c r="AM61" s="36">
        <f t="shared" ref="AM61" si="561">AC61/J61</f>
        <v>0.151946</v>
      </c>
      <c r="AN61" s="36">
        <f t="shared" ref="AN61" si="562">(R61-(P61*12)-V61-AA61)/N61</f>
        <v>0.50205562095417366</v>
      </c>
      <c r="AO61" s="37">
        <f t="shared" ref="AO61" si="563">AC61/(P61*12)</f>
        <v>2.948411102466983</v>
      </c>
      <c r="AP61" s="38">
        <f t="shared" ref="AP61" si="564">(O61/H61)</f>
        <v>0.75614366729678639</v>
      </c>
      <c r="AQ61" s="38">
        <f t="shared" ref="AQ61" si="565">100%-AP61</f>
        <v>0.24385633270321361</v>
      </c>
      <c r="AR61" s="34">
        <f t="shared" ref="AR61" si="566">AQ61*H61</f>
        <v>129000</v>
      </c>
      <c r="AS61" s="39" t="b">
        <f t="shared" si="322"/>
        <v>1</v>
      </c>
      <c r="AT61" s="40">
        <v>40578</v>
      </c>
    </row>
    <row r="62" spans="1:46" s="4" customFormat="1">
      <c r="A62" s="3" t="s">
        <v>109</v>
      </c>
      <c r="B62" s="4" t="s">
        <v>93</v>
      </c>
      <c r="C62" s="4" t="s">
        <v>68</v>
      </c>
      <c r="D62" s="4">
        <v>29209</v>
      </c>
      <c r="E62" s="4">
        <v>290859</v>
      </c>
      <c r="F62" s="19">
        <v>35040</v>
      </c>
      <c r="G62" s="19">
        <v>1075000</v>
      </c>
      <c r="H62" s="19">
        <v>956000</v>
      </c>
      <c r="I62" s="19">
        <f t="shared" ref="I62" si="567">G62*0.85</f>
        <v>913750</v>
      </c>
      <c r="J62" s="19">
        <v>850000</v>
      </c>
      <c r="K62" s="11">
        <f t="shared" ref="K62" ca="1" si="568">TODAY()-AT62</f>
        <v>369</v>
      </c>
      <c r="L62" s="4">
        <v>20</v>
      </c>
      <c r="M62" s="4">
        <v>10</v>
      </c>
      <c r="N62" s="19">
        <f>J62*0.1</f>
        <v>85000</v>
      </c>
      <c r="O62" s="19">
        <f t="shared" ref="O62" si="569">J62-N62</f>
        <v>765000</v>
      </c>
      <c r="P62" s="19">
        <f t="shared" si="393"/>
        <v>4106.6854160428566</v>
      </c>
      <c r="Q62" s="19">
        <v>12000</v>
      </c>
      <c r="R62" s="19">
        <f t="shared" ref="R62" si="570">Q62*12</f>
        <v>144000</v>
      </c>
      <c r="S62" s="19"/>
      <c r="T62" s="19">
        <f t="shared" si="2"/>
        <v>840</v>
      </c>
      <c r="U62" s="19">
        <v>28310</v>
      </c>
      <c r="V62" s="19">
        <f t="shared" ref="V62" si="571">U62+T62</f>
        <v>29150</v>
      </c>
      <c r="W62" s="19">
        <v>240</v>
      </c>
      <c r="X62" s="19">
        <v>200</v>
      </c>
      <c r="Y62" s="19">
        <f t="shared" ref="Y62" si="572">R62*0.1</f>
        <v>14400</v>
      </c>
      <c r="Z62" s="19">
        <f t="shared" ref="Z62" si="573">R62*0.1</f>
        <v>14400</v>
      </c>
      <c r="AA62" s="19">
        <f t="shared" ref="AA62" si="574">Z62+Y62+X62</f>
        <v>29000</v>
      </c>
      <c r="AB62" s="19"/>
      <c r="AC62" s="19">
        <f t="shared" ref="AC62" si="575">R62-V62-AA62</f>
        <v>85850</v>
      </c>
      <c r="AD62" s="19"/>
      <c r="AE62" s="19">
        <f t="shared" ref="AE62" si="576">AC62-(P62*12)</f>
        <v>36569.775007485718</v>
      </c>
      <c r="AF62" s="19"/>
      <c r="AG62" s="34">
        <f t="shared" ref="AG62" si="577">R62</f>
        <v>144000</v>
      </c>
      <c r="AH62" s="34">
        <f t="shared" ref="AH62" si="578">AG62-Z62</f>
        <v>129600</v>
      </c>
      <c r="AI62" s="35">
        <f t="shared" ref="AI62" si="579">(Y62+X62+V62+(P62*12))/AH62</f>
        <v>0.71782581012742497</v>
      </c>
      <c r="AJ62" s="34">
        <f t="shared" ref="AJ62" si="580">AC62-(P62*12)-(AC62*0.1)</f>
        <v>27984.775007485718</v>
      </c>
      <c r="AK62" s="34">
        <f t="shared" ref="AK62" si="581">AJ62-(AJ62*0.06)</f>
        <v>26305.688507036575</v>
      </c>
      <c r="AL62" s="36">
        <f t="shared" ref="AL62" si="582">AK62/N62</f>
        <v>0.30947868831807734</v>
      </c>
      <c r="AM62" s="36">
        <f t="shared" ref="AM62" si="583">AC62/J62</f>
        <v>0.10100000000000001</v>
      </c>
      <c r="AN62" s="36">
        <f t="shared" ref="AN62" si="584">(R62-(P62*12)-V62-AA62)/N62</f>
        <v>0.4302326471468908</v>
      </c>
      <c r="AO62" s="37">
        <f t="shared" ref="AO62" si="585">AC62/(P62*12)</f>
        <v>1.7420780853383016</v>
      </c>
      <c r="AP62" s="38">
        <f t="shared" ref="AP62" si="586">(O62/H62)</f>
        <v>0.80020920502092052</v>
      </c>
      <c r="AQ62" s="38">
        <f t="shared" ref="AQ62" si="587">100%-AP62</f>
        <v>0.19979079497907948</v>
      </c>
      <c r="AR62" s="34">
        <f t="shared" ref="AR62" si="588">AQ62*H62</f>
        <v>190999.99999999997</v>
      </c>
      <c r="AS62" s="39" t="b">
        <f t="shared" si="322"/>
        <v>0</v>
      </c>
      <c r="AT62" s="40">
        <v>40685</v>
      </c>
    </row>
    <row r="63" spans="1:46" s="4" customFormat="1">
      <c r="A63" s="3" t="s">
        <v>110</v>
      </c>
      <c r="B63" s="4" t="s">
        <v>93</v>
      </c>
      <c r="C63" s="4" t="s">
        <v>68</v>
      </c>
      <c r="D63" s="4">
        <v>29210</v>
      </c>
      <c r="E63" s="4">
        <v>276638</v>
      </c>
      <c r="F63" s="19">
        <v>35048</v>
      </c>
      <c r="G63" s="19">
        <v>295000</v>
      </c>
      <c r="H63" s="19">
        <v>334000</v>
      </c>
      <c r="I63" s="19">
        <f t="shared" ref="I63" si="589">G63*0.85</f>
        <v>250750</v>
      </c>
      <c r="J63" s="19">
        <v>250000</v>
      </c>
      <c r="K63" s="11">
        <f t="shared" ref="K63" ca="1" si="590">TODAY()-AT63</f>
        <v>913</v>
      </c>
      <c r="L63" s="4">
        <v>25</v>
      </c>
      <c r="M63" s="4">
        <v>10</v>
      </c>
      <c r="N63" s="19">
        <f t="shared" si="391"/>
        <v>50000</v>
      </c>
      <c r="O63" s="19">
        <f t="shared" ref="O63" si="591">J63-N63</f>
        <v>200000</v>
      </c>
      <c r="P63" s="19">
        <f t="shared" si="393"/>
        <v>1073.6432460242763</v>
      </c>
      <c r="Q63" s="19">
        <v>6020</v>
      </c>
      <c r="R63" s="19">
        <f t="shared" ref="R63" si="592">Q63*12</f>
        <v>72240</v>
      </c>
      <c r="S63" s="19"/>
      <c r="T63" s="19">
        <f t="shared" si="2"/>
        <v>840</v>
      </c>
      <c r="U63" s="19">
        <v>11844</v>
      </c>
      <c r="V63" s="19">
        <f t="shared" ref="V63" si="593">U63+T63</f>
        <v>12684</v>
      </c>
      <c r="W63" s="19">
        <v>248</v>
      </c>
      <c r="X63" s="19">
        <v>200</v>
      </c>
      <c r="Y63" s="19">
        <f t="shared" ref="Y63" si="594">R63*0.1</f>
        <v>7224</v>
      </c>
      <c r="Z63" s="19">
        <f t="shared" ref="Z63" si="595">R63*0.1</f>
        <v>7224</v>
      </c>
      <c r="AA63" s="19">
        <f t="shared" ref="AA63" si="596">Z63+Y63+X63</f>
        <v>14648</v>
      </c>
      <c r="AB63" s="19"/>
      <c r="AC63" s="19">
        <f t="shared" ref="AC63" si="597">R63-V63-AA63</f>
        <v>44908</v>
      </c>
      <c r="AD63" s="19"/>
      <c r="AE63" s="19">
        <f t="shared" ref="AE63" si="598">AC63-(P63*12)</f>
        <v>32024.281047708682</v>
      </c>
      <c r="AF63" s="19"/>
      <c r="AG63" s="34">
        <f t="shared" ref="AG63" si="599">R63</f>
        <v>72240</v>
      </c>
      <c r="AH63" s="34">
        <f t="shared" ref="AH63" si="600">AG63-Z63</f>
        <v>65016</v>
      </c>
      <c r="AI63" s="35">
        <f t="shared" ref="AI63" si="601">(Y63+X63+V63+(P63*12))/AH63</f>
        <v>0.50743999865096767</v>
      </c>
      <c r="AJ63" s="34">
        <f t="shared" ref="AJ63" si="602">AC63-(P63*12)-(AC63*0.1)</f>
        <v>27533.481047708683</v>
      </c>
      <c r="AK63" s="34">
        <f t="shared" ref="AK63" si="603">AJ63-(AJ63*0.06)</f>
        <v>25881.472184846163</v>
      </c>
      <c r="AL63" s="36">
        <f t="shared" ref="AL63" si="604">AK63/N63</f>
        <v>0.51762944369692321</v>
      </c>
      <c r="AM63" s="36">
        <f t="shared" ref="AM63" si="605">AC63/J63</f>
        <v>0.17963200000000001</v>
      </c>
      <c r="AN63" s="36">
        <f t="shared" ref="AN63" si="606">(R63-(P63*12)-V63-AA63)/N63</f>
        <v>0.64048562095417361</v>
      </c>
      <c r="AO63" s="37">
        <f t="shared" ref="AO63" si="607">AC63/(P63*12)</f>
        <v>3.4856395242938221</v>
      </c>
      <c r="AP63" s="38">
        <f t="shared" ref="AP63" si="608">(O63/H63)</f>
        <v>0.59880239520958078</v>
      </c>
      <c r="AQ63" s="38">
        <f t="shared" ref="AQ63" si="609">100%-AP63</f>
        <v>0.40119760479041922</v>
      </c>
      <c r="AR63" s="34">
        <f t="shared" ref="AR63" si="610">AQ63*H63</f>
        <v>134000.00000000003</v>
      </c>
      <c r="AS63" s="39" t="b">
        <f t="shared" si="322"/>
        <v>1</v>
      </c>
      <c r="AT63" s="40">
        <v>40141</v>
      </c>
    </row>
    <row r="64" spans="1:46" s="4" customFormat="1">
      <c r="A64" s="3" t="s">
        <v>89</v>
      </c>
      <c r="B64" s="4" t="s">
        <v>67</v>
      </c>
      <c r="C64" s="4" t="s">
        <v>68</v>
      </c>
      <c r="D64" s="4">
        <v>29730</v>
      </c>
      <c r="E64" s="4">
        <v>1061463</v>
      </c>
      <c r="F64" s="19">
        <v>35012</v>
      </c>
      <c r="G64" s="19">
        <v>395000</v>
      </c>
      <c r="H64" s="19">
        <v>363000</v>
      </c>
      <c r="I64" s="19">
        <f t="shared" ref="I64" si="611">G64*0.85</f>
        <v>335750</v>
      </c>
      <c r="J64" s="19">
        <v>300000</v>
      </c>
      <c r="K64" s="11">
        <f t="shared" ref="K64" ca="1" si="612">TODAY()-AT64</f>
        <v>184</v>
      </c>
      <c r="L64" s="4">
        <v>16</v>
      </c>
      <c r="M64" s="4">
        <v>9</v>
      </c>
      <c r="N64" s="19">
        <f t="shared" si="391"/>
        <v>60000</v>
      </c>
      <c r="O64" s="19">
        <f t="shared" ref="O64" si="613">J64-N64</f>
        <v>240000</v>
      </c>
      <c r="P64" s="19">
        <f t="shared" si="393"/>
        <v>1288.3718952291317</v>
      </c>
      <c r="Q64" s="19">
        <f>550*9</f>
        <v>4950</v>
      </c>
      <c r="R64" s="19">
        <f t="shared" ref="R64" si="614">Q64*12</f>
        <v>59400</v>
      </c>
      <c r="S64" s="19"/>
      <c r="T64" s="19">
        <f t="shared" si="2"/>
        <v>840</v>
      </c>
      <c r="U64" s="19">
        <v>0</v>
      </c>
      <c r="V64" s="19">
        <f t="shared" ref="V64" si="615">U64+T64</f>
        <v>840</v>
      </c>
      <c r="W64" s="19">
        <v>212</v>
      </c>
      <c r="X64" s="19">
        <v>200</v>
      </c>
      <c r="Y64" s="19">
        <f t="shared" ref="Y64" si="616">R64*0.1</f>
        <v>5940</v>
      </c>
      <c r="Z64" s="19">
        <f t="shared" ref="Z64" si="617">R64*0.1</f>
        <v>5940</v>
      </c>
      <c r="AA64" s="19">
        <f t="shared" ref="AA64" si="618">Z64+Y64+X64</f>
        <v>12080</v>
      </c>
      <c r="AB64" s="19"/>
      <c r="AC64" s="19">
        <f t="shared" ref="AC64" si="619">R64-V64-AA64</f>
        <v>46480</v>
      </c>
      <c r="AD64" s="19"/>
      <c r="AE64" s="19">
        <f t="shared" ref="AE64" si="620">AC64-(P64*12)</f>
        <v>31019.53725725042</v>
      </c>
      <c r="AF64" s="19"/>
      <c r="AG64" s="34">
        <f t="shared" ref="AG64" si="621">R64</f>
        <v>59400</v>
      </c>
      <c r="AH64" s="34">
        <f t="shared" ref="AH64" si="622">AG64-Z64</f>
        <v>53460</v>
      </c>
      <c r="AI64" s="35">
        <f t="shared" ref="AI64" si="623">(Y64+X64+V64+(P64*12))/AH64</f>
        <v>0.41976174228861918</v>
      </c>
      <c r="AJ64" s="34">
        <f t="shared" ref="AJ64" si="624">AC64-(P64*12)-(AC64*0.1)</f>
        <v>26371.53725725042</v>
      </c>
      <c r="AK64" s="34">
        <f t="shared" ref="AK64" si="625">AJ64-(AJ64*0.06)</f>
        <v>24789.245021815394</v>
      </c>
      <c r="AL64" s="36">
        <f t="shared" ref="AL64" si="626">AK64/N64</f>
        <v>0.41315408369692325</v>
      </c>
      <c r="AM64" s="36">
        <f t="shared" ref="AM64" si="627">AC64/J64</f>
        <v>0.15493333333333334</v>
      </c>
      <c r="AN64" s="36">
        <f t="shared" ref="AN64" si="628">(R64-(P64*12)-V64-AA64)/N64</f>
        <v>0.51699228762084037</v>
      </c>
      <c r="AO64" s="37">
        <f t="shared" ref="AO64" si="629">AC64/(P64*12)</f>
        <v>3.0063783195491678</v>
      </c>
      <c r="AP64" s="38">
        <f t="shared" ref="AP64" si="630">(O64/H64)</f>
        <v>0.66115702479338845</v>
      </c>
      <c r="AQ64" s="38">
        <f t="shared" ref="AQ64" si="631">100%-AP64</f>
        <v>0.33884297520661155</v>
      </c>
      <c r="AR64" s="34">
        <f t="shared" ref="AR64" si="632">AQ64*H64</f>
        <v>123000</v>
      </c>
      <c r="AS64" s="39" t="b">
        <f>AND(AI64&lt;=0.85,AM64&gt;=0.08,AN64&gt;0.2,AO64&gt;1.3,AP64&lt;=0.8,AR64&gt;3000)</f>
        <v>1</v>
      </c>
      <c r="AT64" s="40">
        <v>40870</v>
      </c>
    </row>
    <row r="65" spans="1:46" s="4" customFormat="1">
      <c r="A65" s="3" t="s">
        <v>111</v>
      </c>
      <c r="B65" s="4" t="s">
        <v>93</v>
      </c>
      <c r="C65" s="4" t="s">
        <v>68</v>
      </c>
      <c r="D65" s="4">
        <v>29210</v>
      </c>
      <c r="E65" s="4">
        <v>301625</v>
      </c>
      <c r="F65" s="19">
        <v>35050</v>
      </c>
      <c r="G65" s="19">
        <v>55900</v>
      </c>
      <c r="H65" s="19">
        <v>125000</v>
      </c>
      <c r="I65" s="19">
        <f t="shared" ref="I65:I73" si="633">G65*0.85</f>
        <v>47515</v>
      </c>
      <c r="J65" s="19">
        <v>53000</v>
      </c>
      <c r="K65" s="11">
        <f t="shared" ref="K65:K73" ca="1" si="634">TODAY()-AT65</f>
        <v>127</v>
      </c>
      <c r="L65" s="4">
        <v>6</v>
      </c>
      <c r="M65" s="4">
        <v>3</v>
      </c>
      <c r="N65" s="19">
        <f t="shared" si="391"/>
        <v>10600</v>
      </c>
      <c r="O65" s="19">
        <f t="shared" ref="O65:O73" si="635">J65-N65</f>
        <v>42400</v>
      </c>
      <c r="P65" s="19">
        <f t="shared" si="393"/>
        <v>227.61236815714656</v>
      </c>
      <c r="Q65" s="19">
        <v>1650</v>
      </c>
      <c r="R65" s="19">
        <f t="shared" ref="R65:R73" si="636">Q65*12</f>
        <v>19800</v>
      </c>
      <c r="S65" s="19"/>
      <c r="T65" s="19">
        <f t="shared" si="2"/>
        <v>840</v>
      </c>
      <c r="U65" s="19">
        <v>3102</v>
      </c>
      <c r="V65" s="19">
        <f t="shared" ref="V65:V73" si="637">U65+T65</f>
        <v>3942</v>
      </c>
      <c r="W65" s="19">
        <v>250</v>
      </c>
      <c r="X65" s="19">
        <v>200</v>
      </c>
      <c r="Y65" s="19">
        <f t="shared" ref="Y65:Y73" si="638">R65*0.1</f>
        <v>1980</v>
      </c>
      <c r="Z65" s="19">
        <f t="shared" ref="Z65:Z73" si="639">R65*0.1</f>
        <v>1980</v>
      </c>
      <c r="AA65" s="19">
        <f t="shared" ref="AA65:AA73" si="640">Z65+Y65+X65</f>
        <v>4160</v>
      </c>
      <c r="AB65" s="19"/>
      <c r="AC65" s="19">
        <f t="shared" ref="AC65:AC73" si="641">R65-V65-AA65</f>
        <v>11698</v>
      </c>
      <c r="AD65" s="19"/>
      <c r="AE65" s="19">
        <f t="shared" ref="AE65:AE73" si="642">AC65-(P65*12)</f>
        <v>8966.651582114242</v>
      </c>
      <c r="AF65" s="19"/>
      <c r="AG65" s="34">
        <f t="shared" ref="AG65:AG73" si="643">R65</f>
        <v>19800</v>
      </c>
      <c r="AH65" s="34">
        <f t="shared" ref="AH65:AH73" si="644">AG65-Z65</f>
        <v>17820</v>
      </c>
      <c r="AI65" s="35">
        <f t="shared" ref="AI65:AI73" si="645">(Y65+X65+V65+(P65*12))/AH65</f>
        <v>0.49682089887125463</v>
      </c>
      <c r="AJ65" s="34">
        <f t="shared" ref="AJ65:AJ73" si="646">AC65-(P65*12)-(AC65*0.1)</f>
        <v>7796.8515821142419</v>
      </c>
      <c r="AK65" s="34">
        <f t="shared" ref="AK65:AK73" si="647">AJ65-(AJ65*0.06)</f>
        <v>7329.040487187387</v>
      </c>
      <c r="AL65" s="36">
        <f t="shared" ref="AL65:AL73" si="648">AK65/N65</f>
        <v>0.6914189138856025</v>
      </c>
      <c r="AM65" s="36">
        <f t="shared" ref="AM65:AM73" si="649">AC65/J65</f>
        <v>0.22071698113207547</v>
      </c>
      <c r="AN65" s="36">
        <f t="shared" ref="AN65:AN73" si="650">(R65-(P65*12)-V65-AA65)/N65</f>
        <v>0.84591052661455113</v>
      </c>
      <c r="AO65" s="37">
        <f t="shared" ref="AO65:AO73" si="651">AC65/(P65*12)</f>
        <v>4.2828662661261694</v>
      </c>
      <c r="AP65" s="38">
        <f t="shared" ref="AP65:AP73" si="652">(O65/H65)</f>
        <v>0.3392</v>
      </c>
      <c r="AQ65" s="38">
        <f t="shared" ref="AQ65:AQ73" si="653">100%-AP65</f>
        <v>0.66080000000000005</v>
      </c>
      <c r="AR65" s="34">
        <f t="shared" ref="AR65:AR73" si="654">AQ65*H65</f>
        <v>82600</v>
      </c>
      <c r="AS65" s="39" t="b">
        <f t="shared" si="322"/>
        <v>1</v>
      </c>
      <c r="AT65" s="40">
        <v>40927</v>
      </c>
    </row>
    <row r="66" spans="1:46" s="4" customFormat="1">
      <c r="A66" s="3" t="s">
        <v>112</v>
      </c>
      <c r="B66" s="4" t="s">
        <v>67</v>
      </c>
      <c r="C66" s="4" t="s">
        <v>68</v>
      </c>
      <c r="D66" s="4">
        <v>29730</v>
      </c>
      <c r="E66" s="4">
        <v>2042311</v>
      </c>
      <c r="F66" s="19">
        <v>35034</v>
      </c>
      <c r="G66" s="19">
        <v>35300</v>
      </c>
      <c r="H66" s="19">
        <v>65000</v>
      </c>
      <c r="I66" s="19">
        <f t="shared" si="633"/>
        <v>30005</v>
      </c>
      <c r="J66" s="19">
        <v>30000</v>
      </c>
      <c r="K66" s="11">
        <f t="shared" ca="1" si="634"/>
        <v>78</v>
      </c>
      <c r="L66" s="4">
        <v>3</v>
      </c>
      <c r="M66" s="4">
        <v>2</v>
      </c>
      <c r="N66" s="19">
        <f t="shared" si="391"/>
        <v>6000</v>
      </c>
      <c r="O66" s="19">
        <f t="shared" si="635"/>
        <v>24000</v>
      </c>
      <c r="P66" s="19">
        <f t="shared" si="393"/>
        <v>128.83718952291315</v>
      </c>
      <c r="Q66" s="19">
        <v>997</v>
      </c>
      <c r="R66" s="19">
        <f t="shared" si="636"/>
        <v>11964</v>
      </c>
      <c r="S66" s="19"/>
      <c r="T66" s="19">
        <f t="shared" ref="T66:T77" si="655">70*12</f>
        <v>840</v>
      </c>
      <c r="U66" s="19">
        <v>1000</v>
      </c>
      <c r="V66" s="19">
        <f t="shared" si="637"/>
        <v>1840</v>
      </c>
      <c r="W66" s="19">
        <v>234</v>
      </c>
      <c r="X66" s="19">
        <v>200</v>
      </c>
      <c r="Y66" s="19">
        <f t="shared" si="638"/>
        <v>1196.4000000000001</v>
      </c>
      <c r="Z66" s="19">
        <f t="shared" si="639"/>
        <v>1196.4000000000001</v>
      </c>
      <c r="AA66" s="19">
        <f t="shared" si="640"/>
        <v>2592.8000000000002</v>
      </c>
      <c r="AB66" s="19"/>
      <c r="AC66" s="19">
        <f t="shared" si="641"/>
        <v>7531.2</v>
      </c>
      <c r="AD66" s="19"/>
      <c r="AE66" s="19">
        <f t="shared" si="642"/>
        <v>5985.153725725042</v>
      </c>
      <c r="AF66" s="19"/>
      <c r="AG66" s="34">
        <f t="shared" si="643"/>
        <v>11964</v>
      </c>
      <c r="AH66" s="34">
        <f t="shared" si="644"/>
        <v>10767.6</v>
      </c>
      <c r="AI66" s="35">
        <f t="shared" si="645"/>
        <v>0.44415155413230045</v>
      </c>
      <c r="AJ66" s="34">
        <f t="shared" si="646"/>
        <v>5232.0337257250421</v>
      </c>
      <c r="AK66" s="34">
        <f t="shared" si="647"/>
        <v>4918.1117021815398</v>
      </c>
      <c r="AL66" s="36">
        <f t="shared" si="648"/>
        <v>0.81968528369692328</v>
      </c>
      <c r="AM66" s="36">
        <f t="shared" si="649"/>
        <v>0.25103999999999999</v>
      </c>
      <c r="AN66" s="36">
        <f t="shared" si="650"/>
        <v>0.99752562095417352</v>
      </c>
      <c r="AO66" s="37">
        <f t="shared" si="651"/>
        <v>4.8712642857548829</v>
      </c>
      <c r="AP66" s="38">
        <f t="shared" si="652"/>
        <v>0.36923076923076925</v>
      </c>
      <c r="AQ66" s="38">
        <f t="shared" si="653"/>
        <v>0.63076923076923075</v>
      </c>
      <c r="AR66" s="34">
        <f t="shared" si="654"/>
        <v>41000</v>
      </c>
      <c r="AS66" s="39" t="b">
        <f t="shared" si="322"/>
        <v>1</v>
      </c>
      <c r="AT66" s="40">
        <v>40976</v>
      </c>
    </row>
    <row r="67" spans="1:46" s="4" customFormat="1">
      <c r="A67" s="3" t="s">
        <v>113</v>
      </c>
      <c r="B67" s="4" t="s">
        <v>67</v>
      </c>
      <c r="C67" s="4" t="s">
        <v>68</v>
      </c>
      <c r="D67" s="4">
        <v>29730</v>
      </c>
      <c r="E67" s="4">
        <v>0</v>
      </c>
      <c r="F67" s="19">
        <v>35035</v>
      </c>
      <c r="G67" s="19">
        <v>55300</v>
      </c>
      <c r="H67" s="19">
        <v>84000</v>
      </c>
      <c r="I67" s="19">
        <f t="shared" si="633"/>
        <v>47005</v>
      </c>
      <c r="J67" s="19">
        <v>51000</v>
      </c>
      <c r="K67" s="11">
        <f t="shared" ca="1" si="634"/>
        <v>504</v>
      </c>
      <c r="L67" s="4">
        <v>3</v>
      </c>
      <c r="M67" s="4">
        <v>2</v>
      </c>
      <c r="N67" s="19">
        <f t="shared" si="391"/>
        <v>10200</v>
      </c>
      <c r="O67" s="19">
        <f t="shared" si="635"/>
        <v>40800</v>
      </c>
      <c r="P67" s="19">
        <f t="shared" si="393"/>
        <v>219.02322218895236</v>
      </c>
      <c r="Q67" s="19">
        <v>997</v>
      </c>
      <c r="R67" s="19">
        <f t="shared" si="636"/>
        <v>11964</v>
      </c>
      <c r="S67" s="19"/>
      <c r="T67" s="19">
        <f t="shared" si="655"/>
        <v>840</v>
      </c>
      <c r="U67" s="19">
        <v>1000</v>
      </c>
      <c r="V67" s="19">
        <f t="shared" si="637"/>
        <v>1840</v>
      </c>
      <c r="W67" s="19">
        <v>235</v>
      </c>
      <c r="X67" s="19">
        <v>200</v>
      </c>
      <c r="Y67" s="19">
        <f t="shared" si="638"/>
        <v>1196.4000000000001</v>
      </c>
      <c r="Z67" s="19">
        <f t="shared" si="639"/>
        <v>1196.4000000000001</v>
      </c>
      <c r="AA67" s="19">
        <f t="shared" si="640"/>
        <v>2592.8000000000002</v>
      </c>
      <c r="AB67" s="19"/>
      <c r="AC67" s="19">
        <f t="shared" si="641"/>
        <v>7531.2</v>
      </c>
      <c r="AD67" s="19"/>
      <c r="AE67" s="19">
        <f t="shared" si="642"/>
        <v>4902.9213337325709</v>
      </c>
      <c r="AF67" s="19"/>
      <c r="AG67" s="34">
        <f t="shared" si="643"/>
        <v>11964</v>
      </c>
      <c r="AH67" s="34">
        <f t="shared" si="644"/>
        <v>10767.6</v>
      </c>
      <c r="AI67" s="35">
        <f t="shared" si="645"/>
        <v>0.54465978177750185</v>
      </c>
      <c r="AJ67" s="34">
        <f t="shared" si="646"/>
        <v>4149.801333732571</v>
      </c>
      <c r="AK67" s="34">
        <f t="shared" si="647"/>
        <v>3900.8132537086167</v>
      </c>
      <c r="AL67" s="36">
        <f t="shared" si="648"/>
        <v>0.38243267193221731</v>
      </c>
      <c r="AM67" s="36">
        <f t="shared" si="649"/>
        <v>0.14767058823529411</v>
      </c>
      <c r="AN67" s="36">
        <f t="shared" si="650"/>
        <v>0.4806785621306443</v>
      </c>
      <c r="AO67" s="37">
        <f t="shared" si="651"/>
        <v>2.8654495798558131</v>
      </c>
      <c r="AP67" s="38">
        <f t="shared" si="652"/>
        <v>0.48571428571428571</v>
      </c>
      <c r="AQ67" s="38">
        <f t="shared" si="653"/>
        <v>0.51428571428571423</v>
      </c>
      <c r="AR67" s="34">
        <f t="shared" si="654"/>
        <v>43199.999999999993</v>
      </c>
      <c r="AS67" s="39" t="b">
        <f t="shared" si="322"/>
        <v>1</v>
      </c>
      <c r="AT67" s="40">
        <v>40550</v>
      </c>
    </row>
    <row r="68" spans="1:46" s="4" customFormat="1">
      <c r="A68" s="3" t="s">
        <v>114</v>
      </c>
      <c r="B68" s="4" t="s">
        <v>67</v>
      </c>
      <c r="C68" s="4" t="s">
        <v>68</v>
      </c>
      <c r="D68" s="4">
        <v>29730</v>
      </c>
      <c r="E68" s="4">
        <v>0</v>
      </c>
      <c r="F68" s="19">
        <v>35036</v>
      </c>
      <c r="G68" s="19">
        <v>64300</v>
      </c>
      <c r="H68" s="19">
        <v>67000</v>
      </c>
      <c r="I68" s="19">
        <f t="shared" si="633"/>
        <v>54655</v>
      </c>
      <c r="J68" s="19">
        <v>61000</v>
      </c>
      <c r="K68" s="11">
        <f t="shared" ca="1" si="634"/>
        <v>384</v>
      </c>
      <c r="L68" s="4">
        <v>3</v>
      </c>
      <c r="M68" s="4">
        <v>1</v>
      </c>
      <c r="N68" s="19">
        <f t="shared" si="391"/>
        <v>12200</v>
      </c>
      <c r="O68" s="19">
        <f t="shared" si="635"/>
        <v>48800</v>
      </c>
      <c r="P68" s="19">
        <f t="shared" si="393"/>
        <v>261.9689520299234</v>
      </c>
      <c r="Q68" s="19">
        <v>997</v>
      </c>
      <c r="R68" s="19">
        <f t="shared" si="636"/>
        <v>11964</v>
      </c>
      <c r="S68" s="19"/>
      <c r="T68" s="19">
        <f t="shared" si="655"/>
        <v>840</v>
      </c>
      <c r="U68" s="19">
        <v>1000</v>
      </c>
      <c r="V68" s="19">
        <f t="shared" si="637"/>
        <v>1840</v>
      </c>
      <c r="W68" s="19">
        <v>236</v>
      </c>
      <c r="X68" s="19">
        <v>200</v>
      </c>
      <c r="Y68" s="19">
        <f t="shared" si="638"/>
        <v>1196.4000000000001</v>
      </c>
      <c r="Z68" s="19">
        <f t="shared" si="639"/>
        <v>1196.4000000000001</v>
      </c>
      <c r="AA68" s="19">
        <f t="shared" si="640"/>
        <v>2592.8000000000002</v>
      </c>
      <c r="AB68" s="19"/>
      <c r="AC68" s="19">
        <f t="shared" si="641"/>
        <v>7531.2</v>
      </c>
      <c r="AD68" s="19"/>
      <c r="AE68" s="19">
        <f t="shared" si="642"/>
        <v>4387.5725756409192</v>
      </c>
      <c r="AF68" s="19"/>
      <c r="AG68" s="34">
        <f t="shared" si="643"/>
        <v>11964</v>
      </c>
      <c r="AH68" s="34">
        <f t="shared" si="644"/>
        <v>10767.6</v>
      </c>
      <c r="AI68" s="35">
        <f t="shared" si="645"/>
        <v>0.59252084256093107</v>
      </c>
      <c r="AJ68" s="34">
        <f t="shared" si="646"/>
        <v>3634.4525756409193</v>
      </c>
      <c r="AK68" s="34">
        <f t="shared" si="647"/>
        <v>3416.3854211024641</v>
      </c>
      <c r="AL68" s="36">
        <f t="shared" si="648"/>
        <v>0.28003159189364457</v>
      </c>
      <c r="AM68" s="36">
        <f t="shared" si="649"/>
        <v>0.12346229508196721</v>
      </c>
      <c r="AN68" s="36">
        <f t="shared" si="650"/>
        <v>0.3596370963640097</v>
      </c>
      <c r="AO68" s="37">
        <f t="shared" si="651"/>
        <v>2.3957037470925653</v>
      </c>
      <c r="AP68" s="38">
        <f t="shared" si="652"/>
        <v>0.72835820895522385</v>
      </c>
      <c r="AQ68" s="38">
        <f t="shared" si="653"/>
        <v>0.27164179104477615</v>
      </c>
      <c r="AR68" s="34">
        <f t="shared" si="654"/>
        <v>18200.000000000004</v>
      </c>
      <c r="AS68" s="39" t="b">
        <f t="shared" si="322"/>
        <v>1</v>
      </c>
      <c r="AT68" s="40">
        <v>40670</v>
      </c>
    </row>
    <row r="69" spans="1:46" s="4" customFormat="1">
      <c r="A69" s="3" t="s">
        <v>115</v>
      </c>
      <c r="B69" s="4" t="s">
        <v>116</v>
      </c>
      <c r="C69" s="4" t="s">
        <v>68</v>
      </c>
      <c r="D69" s="4">
        <v>28012</v>
      </c>
      <c r="E69" s="4">
        <v>2068010</v>
      </c>
      <c r="F69" s="19">
        <v>35037</v>
      </c>
      <c r="G69" s="19">
        <v>272000</v>
      </c>
      <c r="H69" s="19">
        <v>132000</v>
      </c>
      <c r="I69" s="19">
        <f t="shared" si="633"/>
        <v>231200</v>
      </c>
      <c r="J69" s="19">
        <v>130000</v>
      </c>
      <c r="K69" s="11">
        <f t="shared" ca="1" si="634"/>
        <v>91</v>
      </c>
      <c r="L69" s="4">
        <v>9</v>
      </c>
      <c r="M69" s="4">
        <v>5</v>
      </c>
      <c r="N69" s="19">
        <f t="shared" si="391"/>
        <v>26000</v>
      </c>
      <c r="O69" s="19">
        <f t="shared" si="635"/>
        <v>104000</v>
      </c>
      <c r="P69" s="19">
        <f t="shared" si="393"/>
        <v>558.29448793262372</v>
      </c>
      <c r="Q69" s="19">
        <v>2500</v>
      </c>
      <c r="R69" s="19">
        <f t="shared" si="636"/>
        <v>30000</v>
      </c>
      <c r="S69" s="19"/>
      <c r="T69" s="19">
        <f t="shared" si="655"/>
        <v>840</v>
      </c>
      <c r="U69" s="19">
        <v>1000</v>
      </c>
      <c r="V69" s="19">
        <f t="shared" si="637"/>
        <v>1840</v>
      </c>
      <c r="W69" s="19">
        <v>237</v>
      </c>
      <c r="X69" s="19">
        <v>200</v>
      </c>
      <c r="Y69" s="19">
        <f t="shared" si="638"/>
        <v>3000</v>
      </c>
      <c r="Z69" s="19">
        <f t="shared" si="639"/>
        <v>3000</v>
      </c>
      <c r="AA69" s="19">
        <f t="shared" si="640"/>
        <v>6200</v>
      </c>
      <c r="AB69" s="19"/>
      <c r="AC69" s="19">
        <f t="shared" si="641"/>
        <v>21960</v>
      </c>
      <c r="AD69" s="19"/>
      <c r="AE69" s="19">
        <f t="shared" si="642"/>
        <v>15260.466144808515</v>
      </c>
      <c r="AF69" s="19"/>
      <c r="AG69" s="34">
        <f t="shared" si="643"/>
        <v>30000</v>
      </c>
      <c r="AH69" s="34">
        <f t="shared" si="644"/>
        <v>27000</v>
      </c>
      <c r="AI69" s="35">
        <f t="shared" si="645"/>
        <v>0.43479755019227723</v>
      </c>
      <c r="AJ69" s="34">
        <f t="shared" si="646"/>
        <v>13064.466144808515</v>
      </c>
      <c r="AK69" s="34">
        <f t="shared" si="647"/>
        <v>12280.598176120004</v>
      </c>
      <c r="AL69" s="36">
        <f t="shared" si="648"/>
        <v>0.47233069908153863</v>
      </c>
      <c r="AM69" s="36">
        <f t="shared" si="649"/>
        <v>0.16892307692307693</v>
      </c>
      <c r="AN69" s="36">
        <f t="shared" si="650"/>
        <v>0.58694100556955831</v>
      </c>
      <c r="AO69" s="37">
        <f t="shared" si="651"/>
        <v>3.2778399922530648</v>
      </c>
      <c r="AP69" s="38">
        <f t="shared" si="652"/>
        <v>0.78787878787878785</v>
      </c>
      <c r="AQ69" s="38">
        <f t="shared" si="653"/>
        <v>0.21212121212121215</v>
      </c>
      <c r="AR69" s="34">
        <f t="shared" si="654"/>
        <v>28000.000000000004</v>
      </c>
      <c r="AS69" s="39" t="b">
        <f t="shared" si="322"/>
        <v>1</v>
      </c>
      <c r="AT69" s="40">
        <v>40963</v>
      </c>
    </row>
    <row r="70" spans="1:46" s="4" customFormat="1">
      <c r="A70" s="3" t="s">
        <v>117</v>
      </c>
      <c r="B70" s="4" t="s">
        <v>118</v>
      </c>
      <c r="C70" s="4" t="s">
        <v>119</v>
      </c>
      <c r="D70" s="4">
        <v>28214</v>
      </c>
      <c r="E70" s="4">
        <v>2047624</v>
      </c>
      <c r="F70" s="19">
        <v>35038</v>
      </c>
      <c r="G70" s="19">
        <v>179000</v>
      </c>
      <c r="H70" s="19">
        <v>126100</v>
      </c>
      <c r="I70" s="19">
        <f t="shared" si="633"/>
        <v>152150</v>
      </c>
      <c r="J70" s="19">
        <v>115000</v>
      </c>
      <c r="K70" s="11">
        <f t="shared" ca="1" si="634"/>
        <v>-147</v>
      </c>
      <c r="L70" s="4">
        <v>6</v>
      </c>
      <c r="M70" s="4">
        <v>3</v>
      </c>
      <c r="N70" s="19">
        <f t="shared" si="391"/>
        <v>23000</v>
      </c>
      <c r="O70" s="19">
        <f t="shared" si="635"/>
        <v>92000</v>
      </c>
      <c r="P70" s="19">
        <f t="shared" si="393"/>
        <v>493.87589317116709</v>
      </c>
      <c r="Q70" s="19">
        <v>1825</v>
      </c>
      <c r="R70" s="19">
        <f t="shared" si="636"/>
        <v>21900</v>
      </c>
      <c r="S70" s="19"/>
      <c r="T70" s="19">
        <f t="shared" si="655"/>
        <v>840</v>
      </c>
      <c r="U70" s="19">
        <v>1500</v>
      </c>
      <c r="V70" s="19">
        <f t="shared" si="637"/>
        <v>2340</v>
      </c>
      <c r="W70" s="19">
        <v>238</v>
      </c>
      <c r="X70" s="19">
        <v>200</v>
      </c>
      <c r="Y70" s="19">
        <f t="shared" si="638"/>
        <v>2190</v>
      </c>
      <c r="Z70" s="19">
        <f t="shared" si="639"/>
        <v>2190</v>
      </c>
      <c r="AA70" s="19">
        <f t="shared" si="640"/>
        <v>4580</v>
      </c>
      <c r="AB70" s="19"/>
      <c r="AC70" s="19">
        <f t="shared" si="641"/>
        <v>14980</v>
      </c>
      <c r="AD70" s="19"/>
      <c r="AE70" s="19">
        <f t="shared" si="642"/>
        <v>9053.4892819459947</v>
      </c>
      <c r="AF70" s="19"/>
      <c r="AG70" s="34">
        <f t="shared" si="643"/>
        <v>21900</v>
      </c>
      <c r="AH70" s="34">
        <f t="shared" si="644"/>
        <v>19710</v>
      </c>
      <c r="AI70" s="35">
        <f t="shared" si="645"/>
        <v>0.54066518102760053</v>
      </c>
      <c r="AJ70" s="34">
        <f t="shared" si="646"/>
        <v>7555.4892819459947</v>
      </c>
      <c r="AK70" s="34">
        <f t="shared" si="647"/>
        <v>7102.1599250292347</v>
      </c>
      <c r="AL70" s="36">
        <f t="shared" si="648"/>
        <v>0.30878956195779284</v>
      </c>
      <c r="AM70" s="36">
        <f t="shared" si="649"/>
        <v>0.1302608695652174</v>
      </c>
      <c r="AN70" s="36">
        <f t="shared" si="650"/>
        <v>0.39362996878026063</v>
      </c>
      <c r="AO70" s="37">
        <f t="shared" si="651"/>
        <v>2.5276255646288184</v>
      </c>
      <c r="AP70" s="38">
        <f t="shared" si="652"/>
        <v>0.72957969865186356</v>
      </c>
      <c r="AQ70" s="38">
        <f t="shared" si="653"/>
        <v>0.27042030134813644</v>
      </c>
      <c r="AR70" s="34">
        <f t="shared" si="654"/>
        <v>34100.000000000007</v>
      </c>
      <c r="AS70" s="39" t="b">
        <f t="shared" si="322"/>
        <v>1</v>
      </c>
      <c r="AT70" s="40">
        <v>41201</v>
      </c>
    </row>
    <row r="71" spans="1:46" s="4" customFormat="1">
      <c r="A71" s="3" t="s">
        <v>120</v>
      </c>
      <c r="B71" s="4" t="s">
        <v>118</v>
      </c>
      <c r="C71" s="4" t="s">
        <v>119</v>
      </c>
      <c r="D71" s="4">
        <v>28216</v>
      </c>
      <c r="E71" s="4">
        <v>2063159</v>
      </c>
      <c r="F71" s="19">
        <v>35040</v>
      </c>
      <c r="G71" s="19">
        <v>24900</v>
      </c>
      <c r="H71" s="19">
        <v>59900</v>
      </c>
      <c r="I71" s="19">
        <f t="shared" si="633"/>
        <v>21165</v>
      </c>
      <c r="J71" s="19">
        <v>20000</v>
      </c>
      <c r="K71" s="11">
        <f t="shared" ca="1" si="634"/>
        <v>115</v>
      </c>
      <c r="L71" s="4">
        <v>4</v>
      </c>
      <c r="M71" s="4">
        <v>2</v>
      </c>
      <c r="N71" s="19">
        <f t="shared" si="391"/>
        <v>4000</v>
      </c>
      <c r="O71" s="19">
        <f t="shared" si="635"/>
        <v>16000</v>
      </c>
      <c r="P71" s="19">
        <f t="shared" si="393"/>
        <v>85.891459681942109</v>
      </c>
      <c r="Q71" s="19">
        <v>500</v>
      </c>
      <c r="R71" s="19">
        <f t="shared" si="636"/>
        <v>6000</v>
      </c>
      <c r="S71" s="19"/>
      <c r="T71" s="19">
        <f t="shared" si="655"/>
        <v>840</v>
      </c>
      <c r="U71" s="19">
        <v>1000</v>
      </c>
      <c r="V71" s="19">
        <f t="shared" si="637"/>
        <v>1840</v>
      </c>
      <c r="W71" s="19">
        <v>240</v>
      </c>
      <c r="X71" s="19">
        <v>50</v>
      </c>
      <c r="Y71" s="19">
        <f t="shared" si="638"/>
        <v>600</v>
      </c>
      <c r="Z71" s="19">
        <f t="shared" si="639"/>
        <v>600</v>
      </c>
      <c r="AA71" s="19">
        <f t="shared" si="640"/>
        <v>1250</v>
      </c>
      <c r="AB71" s="19"/>
      <c r="AC71" s="19">
        <f t="shared" si="641"/>
        <v>2910</v>
      </c>
      <c r="AD71" s="19"/>
      <c r="AE71" s="19">
        <f t="shared" si="642"/>
        <v>1879.3024838166948</v>
      </c>
      <c r="AF71" s="19"/>
      <c r="AG71" s="34">
        <f t="shared" si="643"/>
        <v>6000</v>
      </c>
      <c r="AH71" s="34">
        <f t="shared" si="644"/>
        <v>5400</v>
      </c>
      <c r="AI71" s="35">
        <f t="shared" si="645"/>
        <v>0.65198102151542692</v>
      </c>
      <c r="AJ71" s="34">
        <f t="shared" si="646"/>
        <v>1588.3024838166948</v>
      </c>
      <c r="AK71" s="34">
        <f t="shared" si="647"/>
        <v>1493.0043347876931</v>
      </c>
      <c r="AL71" s="36">
        <f t="shared" si="648"/>
        <v>0.37325108369692328</v>
      </c>
      <c r="AM71" s="36">
        <f t="shared" si="649"/>
        <v>0.14549999999999999</v>
      </c>
      <c r="AN71" s="36">
        <f t="shared" si="650"/>
        <v>0.46982562095417368</v>
      </c>
      <c r="AO71" s="37">
        <f t="shared" si="651"/>
        <v>2.8233307583545866</v>
      </c>
      <c r="AP71" s="38">
        <f t="shared" si="652"/>
        <v>0.26711185308848079</v>
      </c>
      <c r="AQ71" s="38">
        <f t="shared" si="653"/>
        <v>0.73288814691151916</v>
      </c>
      <c r="AR71" s="34">
        <f t="shared" si="654"/>
        <v>43900</v>
      </c>
      <c r="AS71" s="39" t="b">
        <f t="shared" si="322"/>
        <v>1</v>
      </c>
      <c r="AT71" s="40">
        <v>40939</v>
      </c>
    </row>
    <row r="72" spans="1:46" s="4" customFormat="1">
      <c r="A72" s="3" t="s">
        <v>121</v>
      </c>
      <c r="B72" s="4" t="s">
        <v>118</v>
      </c>
      <c r="C72" s="4" t="s">
        <v>119</v>
      </c>
      <c r="D72" s="4">
        <v>28215</v>
      </c>
      <c r="E72" s="4">
        <v>2074405</v>
      </c>
      <c r="F72" s="19">
        <v>35041</v>
      </c>
      <c r="G72" s="19">
        <v>399000</v>
      </c>
      <c r="H72" s="19">
        <v>336000</v>
      </c>
      <c r="I72" s="19">
        <f t="shared" si="633"/>
        <v>339150</v>
      </c>
      <c r="J72" s="19">
        <v>315000</v>
      </c>
      <c r="K72" s="11">
        <f t="shared" ca="1" si="634"/>
        <v>60</v>
      </c>
      <c r="L72" s="4">
        <v>16</v>
      </c>
      <c r="M72" s="4">
        <v>8</v>
      </c>
      <c r="N72" s="19">
        <f>J72*0.2</f>
        <v>63000</v>
      </c>
      <c r="O72" s="19">
        <f t="shared" si="635"/>
        <v>252000</v>
      </c>
      <c r="P72" s="19">
        <f>PMT(5%/12,180,O72,0)*-1</f>
        <v>1992.7999393886871</v>
      </c>
      <c r="Q72" s="19">
        <v>5200</v>
      </c>
      <c r="R72" s="19">
        <f t="shared" si="636"/>
        <v>62400</v>
      </c>
      <c r="S72" s="19"/>
      <c r="T72" s="19">
        <f t="shared" si="655"/>
        <v>840</v>
      </c>
      <c r="U72" s="19">
        <v>4000</v>
      </c>
      <c r="V72" s="19">
        <f t="shared" si="637"/>
        <v>4840</v>
      </c>
      <c r="W72" s="19">
        <v>241</v>
      </c>
      <c r="X72" s="19">
        <v>200</v>
      </c>
      <c r="Y72" s="19">
        <f t="shared" si="638"/>
        <v>6240</v>
      </c>
      <c r="Z72" s="19">
        <f t="shared" si="639"/>
        <v>6240</v>
      </c>
      <c r="AA72" s="19">
        <f t="shared" si="640"/>
        <v>12680</v>
      </c>
      <c r="AB72" s="19"/>
      <c r="AC72" s="19">
        <f t="shared" si="641"/>
        <v>44880</v>
      </c>
      <c r="AD72" s="19"/>
      <c r="AE72" s="19">
        <f t="shared" si="642"/>
        <v>20966.400727335757</v>
      </c>
      <c r="AF72" s="19"/>
      <c r="AG72" s="34">
        <f t="shared" si="643"/>
        <v>62400</v>
      </c>
      <c r="AH72" s="34">
        <f t="shared" si="644"/>
        <v>56160</v>
      </c>
      <c r="AI72" s="35">
        <f t="shared" si="645"/>
        <v>0.62666665371553143</v>
      </c>
      <c r="AJ72" s="34">
        <f t="shared" si="646"/>
        <v>16478.400727335757</v>
      </c>
      <c r="AK72" s="34">
        <f t="shared" si="647"/>
        <v>15489.696683695611</v>
      </c>
      <c r="AL72" s="36">
        <f t="shared" si="648"/>
        <v>0.24586820132850176</v>
      </c>
      <c r="AM72" s="36">
        <f t="shared" si="649"/>
        <v>0.14247619047619048</v>
      </c>
      <c r="AN72" s="36">
        <f t="shared" si="650"/>
        <v>0.33280001154501199</v>
      </c>
      <c r="AO72" s="37">
        <f t="shared" si="651"/>
        <v>1.8767563798437719</v>
      </c>
      <c r="AP72" s="38">
        <f t="shared" si="652"/>
        <v>0.75</v>
      </c>
      <c r="AQ72" s="38">
        <f t="shared" si="653"/>
        <v>0.25</v>
      </c>
      <c r="AR72" s="34">
        <f t="shared" si="654"/>
        <v>84000</v>
      </c>
      <c r="AS72" s="39" t="b">
        <f t="shared" si="322"/>
        <v>1</v>
      </c>
      <c r="AT72" s="40">
        <v>40994</v>
      </c>
    </row>
    <row r="73" spans="1:46" s="4" customFormat="1">
      <c r="A73" s="3" t="s">
        <v>122</v>
      </c>
      <c r="B73" s="4" t="s">
        <v>118</v>
      </c>
      <c r="C73" s="4" t="s">
        <v>119</v>
      </c>
      <c r="D73" s="4">
        <v>28205</v>
      </c>
      <c r="E73" s="4">
        <v>2072805</v>
      </c>
      <c r="F73" s="19">
        <v>35042</v>
      </c>
      <c r="G73" s="19">
        <v>139500</v>
      </c>
      <c r="H73" s="19">
        <v>112600</v>
      </c>
      <c r="I73" s="19">
        <f t="shared" si="633"/>
        <v>118575</v>
      </c>
      <c r="J73" s="19">
        <v>100000</v>
      </c>
      <c r="K73" s="11">
        <f t="shared" ca="1" si="634"/>
        <v>67</v>
      </c>
      <c r="L73" s="4">
        <v>8</v>
      </c>
      <c r="M73" s="4">
        <v>4</v>
      </c>
      <c r="N73" s="19">
        <f>J73*0.2</f>
        <v>20000</v>
      </c>
      <c r="O73" s="19">
        <f t="shared" si="635"/>
        <v>80000</v>
      </c>
      <c r="P73" s="19">
        <f t="shared" si="393"/>
        <v>429.45729840971052</v>
      </c>
      <c r="Q73" s="19">
        <v>2000</v>
      </c>
      <c r="R73" s="19">
        <f t="shared" si="636"/>
        <v>24000</v>
      </c>
      <c r="S73" s="19"/>
      <c r="T73" s="19">
        <f t="shared" si="655"/>
        <v>840</v>
      </c>
      <c r="U73" s="19">
        <v>2500</v>
      </c>
      <c r="V73" s="19">
        <f t="shared" si="637"/>
        <v>3340</v>
      </c>
      <c r="W73" s="19">
        <v>242</v>
      </c>
      <c r="X73" s="19">
        <v>200</v>
      </c>
      <c r="Y73" s="19">
        <f t="shared" si="638"/>
        <v>2400</v>
      </c>
      <c r="Z73" s="19">
        <f t="shared" si="639"/>
        <v>2400</v>
      </c>
      <c r="AA73" s="19">
        <f t="shared" si="640"/>
        <v>5000</v>
      </c>
      <c r="AB73" s="19"/>
      <c r="AC73" s="19">
        <f t="shared" si="641"/>
        <v>15660</v>
      </c>
      <c r="AD73" s="19"/>
      <c r="AE73" s="19">
        <f t="shared" si="642"/>
        <v>10506.512419083474</v>
      </c>
      <c r="AF73" s="19"/>
      <c r="AG73" s="34">
        <f t="shared" si="643"/>
        <v>24000</v>
      </c>
      <c r="AH73" s="34">
        <f t="shared" si="644"/>
        <v>21600</v>
      </c>
      <c r="AI73" s="35">
        <f t="shared" si="645"/>
        <v>0.51358738800539472</v>
      </c>
      <c r="AJ73" s="34">
        <f t="shared" si="646"/>
        <v>8940.512419083474</v>
      </c>
      <c r="AK73" s="34">
        <f t="shared" si="647"/>
        <v>8404.0816739384663</v>
      </c>
      <c r="AL73" s="36">
        <f t="shared" si="648"/>
        <v>0.4202040836969233</v>
      </c>
      <c r="AM73" s="36">
        <f t="shared" si="649"/>
        <v>0.15659999999999999</v>
      </c>
      <c r="AN73" s="36">
        <f t="shared" si="650"/>
        <v>0.52532562095417379</v>
      </c>
      <c r="AO73" s="37">
        <f t="shared" si="651"/>
        <v>3.0387188780641119</v>
      </c>
      <c r="AP73" s="38">
        <f t="shared" si="652"/>
        <v>0.71047957371225579</v>
      </c>
      <c r="AQ73" s="38">
        <f t="shared" si="653"/>
        <v>0.28952042628774421</v>
      </c>
      <c r="AR73" s="34">
        <f t="shared" si="654"/>
        <v>32600</v>
      </c>
      <c r="AS73" s="39" t="b">
        <f t="shared" si="322"/>
        <v>1</v>
      </c>
      <c r="AT73" s="40">
        <v>40987</v>
      </c>
    </row>
    <row r="74" spans="1:46" s="4" customFormat="1">
      <c r="A74" s="3" t="s">
        <v>124</v>
      </c>
      <c r="B74" s="4" t="s">
        <v>123</v>
      </c>
      <c r="C74" s="4" t="s">
        <v>68</v>
      </c>
      <c r="D74" s="4">
        <v>29306</v>
      </c>
      <c r="E74" s="4">
        <v>199164</v>
      </c>
      <c r="F74" s="19">
        <v>35047</v>
      </c>
      <c r="G74" s="19">
        <v>120000</v>
      </c>
      <c r="H74" s="19">
        <v>120000</v>
      </c>
      <c r="I74" s="19">
        <f t="shared" ref="I74" si="656">G74*0.85</f>
        <v>102000</v>
      </c>
      <c r="J74" s="19">
        <v>110000</v>
      </c>
      <c r="K74" s="11">
        <f t="shared" ref="K74" ca="1" si="657">TODAY()-AT74</f>
        <v>472</v>
      </c>
      <c r="L74" s="4">
        <v>4</v>
      </c>
      <c r="M74" s="4">
        <v>2</v>
      </c>
      <c r="N74" s="19">
        <f t="shared" si="391"/>
        <v>22000</v>
      </c>
      <c r="O74" s="19">
        <f t="shared" ref="O74" si="658">J74-N74</f>
        <v>88000</v>
      </c>
      <c r="P74" s="19">
        <f t="shared" si="393"/>
        <v>472.40302825068159</v>
      </c>
      <c r="Q74" s="19">
        <v>1500</v>
      </c>
      <c r="R74" s="19">
        <f t="shared" ref="R74" si="659">Q74*12</f>
        <v>18000</v>
      </c>
      <c r="S74" s="19"/>
      <c r="T74" s="19">
        <f t="shared" si="655"/>
        <v>840</v>
      </c>
      <c r="U74" s="19">
        <v>1000</v>
      </c>
      <c r="V74" s="19">
        <f t="shared" ref="V74" si="660">U74+T74</f>
        <v>1840</v>
      </c>
      <c r="W74" s="19">
        <v>247</v>
      </c>
      <c r="X74" s="19">
        <v>200</v>
      </c>
      <c r="Y74" s="19">
        <f t="shared" ref="Y74" si="661">R74*0.1</f>
        <v>1800</v>
      </c>
      <c r="Z74" s="19">
        <f t="shared" ref="Z74" si="662">R74*0.1</f>
        <v>1800</v>
      </c>
      <c r="AA74" s="19">
        <f t="shared" ref="AA74" si="663">Z74+Y74+X74</f>
        <v>3800</v>
      </c>
      <c r="AB74" s="19"/>
      <c r="AC74" s="19">
        <f t="shared" ref="AC74" si="664">R74-V74-AA74</f>
        <v>12360</v>
      </c>
      <c r="AD74" s="19"/>
      <c r="AE74" s="19">
        <f t="shared" ref="AE74" si="665">AC74-(P74*12)</f>
        <v>6691.1636609918205</v>
      </c>
      <c r="AF74" s="19"/>
      <c r="AG74" s="34">
        <f t="shared" ref="AG74" si="666">R74</f>
        <v>18000</v>
      </c>
      <c r="AH74" s="34">
        <f t="shared" ref="AH74" si="667">AG74-Z74</f>
        <v>16200</v>
      </c>
      <c r="AI74" s="35">
        <f t="shared" ref="AI74" si="668">(Y74+X74+V74+(P74*12))/AH74</f>
        <v>0.58696520611161607</v>
      </c>
      <c r="AJ74" s="34">
        <f t="shared" ref="AJ74" si="669">AC74-(P74*12)-(AC74*0.1)</f>
        <v>5455.1636609918205</v>
      </c>
      <c r="AK74" s="34">
        <f t="shared" ref="AK74" si="670">AJ74-(AJ74*0.06)</f>
        <v>5127.8538413323113</v>
      </c>
      <c r="AL74" s="36">
        <f t="shared" ref="AL74" si="671">AK74/N74</f>
        <v>0.23308426551510505</v>
      </c>
      <c r="AM74" s="36">
        <f t="shared" ref="AM74" si="672">AC74/J74</f>
        <v>0.11236363636363636</v>
      </c>
      <c r="AN74" s="36">
        <f t="shared" ref="AN74" si="673">(R74-(P74*12)-V74-AA74)/N74</f>
        <v>0.30414380277235548</v>
      </c>
      <c r="AO74" s="37">
        <f t="shared" ref="AO74" si="674">AC74/(P74*12)</f>
        <v>2.1803416540620235</v>
      </c>
      <c r="AP74" s="38">
        <f t="shared" ref="AP74" si="675">(O74/H74)</f>
        <v>0.73333333333333328</v>
      </c>
      <c r="AQ74" s="38">
        <f t="shared" ref="AQ74" si="676">100%-AP74</f>
        <v>0.26666666666666672</v>
      </c>
      <c r="AR74" s="34">
        <f t="shared" ref="AR74" si="677">AQ74*H74</f>
        <v>32000.000000000007</v>
      </c>
      <c r="AS74" s="39" t="b">
        <f t="shared" si="322"/>
        <v>1</v>
      </c>
      <c r="AT74" s="40">
        <v>40582</v>
      </c>
    </row>
    <row r="75" spans="1:46" s="4" customFormat="1">
      <c r="A75" s="3" t="s">
        <v>125</v>
      </c>
      <c r="B75" s="4" t="s">
        <v>126</v>
      </c>
      <c r="C75" s="4" t="s">
        <v>68</v>
      </c>
      <c r="D75" s="4">
        <v>29710</v>
      </c>
      <c r="E75" s="4">
        <v>1080281</v>
      </c>
      <c r="F75" s="19">
        <v>35058</v>
      </c>
      <c r="G75" s="19">
        <v>62500</v>
      </c>
      <c r="H75" s="19">
        <v>64500</v>
      </c>
      <c r="I75" s="19">
        <f t="shared" ref="I75" si="678">G75*0.85</f>
        <v>53125</v>
      </c>
      <c r="J75" s="19">
        <v>52250</v>
      </c>
      <c r="K75" s="11">
        <f t="shared" ref="K75" ca="1" si="679">TODAY()-AT75</f>
        <v>56</v>
      </c>
      <c r="L75" s="4">
        <v>3</v>
      </c>
      <c r="M75" s="4">
        <v>2</v>
      </c>
      <c r="N75" s="19">
        <f t="shared" si="391"/>
        <v>10450</v>
      </c>
      <c r="O75" s="19">
        <f t="shared" ref="O75" si="680">J75-N75</f>
        <v>41800</v>
      </c>
      <c r="P75" s="19">
        <f t="shared" si="393"/>
        <v>224.39143841907372</v>
      </c>
      <c r="Q75" s="19">
        <v>997</v>
      </c>
      <c r="R75" s="19">
        <f t="shared" ref="R75" si="681">Q75*12</f>
        <v>11964</v>
      </c>
      <c r="S75" s="19"/>
      <c r="T75" s="19">
        <f t="shared" si="655"/>
        <v>840</v>
      </c>
      <c r="U75" s="19">
        <v>1000</v>
      </c>
      <c r="V75" s="19">
        <f t="shared" ref="V75" si="682">U75+T75</f>
        <v>1840</v>
      </c>
      <c r="W75" s="19">
        <v>258</v>
      </c>
      <c r="X75" s="19">
        <v>200</v>
      </c>
      <c r="Y75" s="19">
        <f t="shared" ref="Y75" si="683">R75*0.1</f>
        <v>1196.4000000000001</v>
      </c>
      <c r="Z75" s="19">
        <f t="shared" ref="Z75" si="684">R75*0.1</f>
        <v>1196.4000000000001</v>
      </c>
      <c r="AA75" s="19">
        <f t="shared" ref="AA75" si="685">Z75+Y75+X75</f>
        <v>2592.8000000000002</v>
      </c>
      <c r="AB75" s="19"/>
      <c r="AC75" s="19">
        <f t="shared" ref="AC75" si="686">R75-V75-AA75</f>
        <v>7531.2</v>
      </c>
      <c r="AD75" s="19"/>
      <c r="AE75" s="19">
        <f t="shared" ref="AE75" si="687">AC75-(P75*12)</f>
        <v>4838.5027389711149</v>
      </c>
      <c r="AF75" s="19"/>
      <c r="AG75" s="34">
        <f t="shared" ref="AG75" si="688">R75</f>
        <v>11964</v>
      </c>
      <c r="AH75" s="34">
        <f t="shared" ref="AH75" si="689">AG75-Z75</f>
        <v>10767.6</v>
      </c>
      <c r="AI75" s="35">
        <f t="shared" ref="AI75" si="690">(Y75+X75+V75+(P75*12))/AH75</f>
        <v>0.55064241437543038</v>
      </c>
      <c r="AJ75" s="34">
        <f t="shared" ref="AJ75" si="691">AC75-(P75*12)-(AC75*0.1)</f>
        <v>4085.382738971115</v>
      </c>
      <c r="AK75" s="34">
        <f t="shared" ref="AK75" si="692">AJ75-(AJ75*0.06)</f>
        <v>3840.2597746328483</v>
      </c>
      <c r="AL75" s="36">
        <f t="shared" ref="AL75" si="693">AK75/N75</f>
        <v>0.3674889736490764</v>
      </c>
      <c r="AM75" s="36">
        <f t="shared" ref="AM75" si="694">AC75/J75</f>
        <v>0.1441377990430622</v>
      </c>
      <c r="AN75" s="36">
        <f t="shared" ref="AN75" si="695">(R75-(P75*12)-V75-AA75)/N75</f>
        <v>0.46301461616948469</v>
      </c>
      <c r="AO75" s="37">
        <f t="shared" ref="AO75" si="696">AC75/(P75*12)</f>
        <v>2.7968981545004112</v>
      </c>
      <c r="AP75" s="38">
        <f t="shared" ref="AP75" si="697">(O75/H75)</f>
        <v>0.64806201550387599</v>
      </c>
      <c r="AQ75" s="38">
        <f t="shared" ref="AQ75" si="698">100%-AP75</f>
        <v>0.35193798449612401</v>
      </c>
      <c r="AR75" s="34">
        <f t="shared" ref="AR75" si="699">AQ75*H75</f>
        <v>22700</v>
      </c>
      <c r="AS75" s="39" t="b">
        <f t="shared" si="322"/>
        <v>1</v>
      </c>
      <c r="AT75" s="40">
        <v>40998</v>
      </c>
    </row>
    <row r="76" spans="1:46" s="4" customFormat="1">
      <c r="A76" s="3" t="s">
        <v>127</v>
      </c>
      <c r="B76" s="4" t="s">
        <v>83</v>
      </c>
      <c r="C76" s="4" t="s">
        <v>68</v>
      </c>
      <c r="D76" s="4">
        <v>29745</v>
      </c>
      <c r="E76" s="4">
        <v>1039220</v>
      </c>
      <c r="F76" s="19">
        <v>35059</v>
      </c>
      <c r="G76" s="19">
        <v>40000</v>
      </c>
      <c r="H76" s="19">
        <v>36500</v>
      </c>
      <c r="I76" s="19">
        <f t="shared" ref="I76" si="700">G76*0.85</f>
        <v>34000</v>
      </c>
      <c r="J76" s="19">
        <v>27000</v>
      </c>
      <c r="K76" s="11">
        <f t="shared" ref="K76" ca="1" si="701">TODAY()-AT76</f>
        <v>200</v>
      </c>
      <c r="L76" s="4">
        <v>2</v>
      </c>
      <c r="M76" s="4">
        <v>1</v>
      </c>
      <c r="N76" s="19">
        <f t="shared" si="391"/>
        <v>5400</v>
      </c>
      <c r="O76" s="19">
        <f t="shared" ref="O76" si="702">J76-N76</f>
        <v>21600</v>
      </c>
      <c r="P76" s="19">
        <f t="shared" si="393"/>
        <v>115.95347057062185</v>
      </c>
      <c r="Q76" s="19">
        <v>719</v>
      </c>
      <c r="R76" s="19">
        <f t="shared" ref="R76" si="703">Q76*12</f>
        <v>8628</v>
      </c>
      <c r="S76" s="19"/>
      <c r="T76" s="19">
        <f t="shared" si="655"/>
        <v>840</v>
      </c>
      <c r="U76" s="19">
        <v>1000</v>
      </c>
      <c r="V76" s="19">
        <f t="shared" ref="V76" si="704">U76+T76</f>
        <v>1840</v>
      </c>
      <c r="W76" s="19">
        <v>259</v>
      </c>
      <c r="X76" s="19">
        <v>200</v>
      </c>
      <c r="Y76" s="19">
        <f t="shared" ref="Y76" si="705">R76*0.1</f>
        <v>862.80000000000007</v>
      </c>
      <c r="Z76" s="19">
        <f t="shared" ref="Z76" si="706">R76*0.1</f>
        <v>862.80000000000007</v>
      </c>
      <c r="AA76" s="19">
        <f t="shared" ref="AA76" si="707">Z76+Y76+X76</f>
        <v>1925.6000000000001</v>
      </c>
      <c r="AB76" s="19"/>
      <c r="AC76" s="19">
        <f t="shared" ref="AC76" si="708">R76-V76-AA76</f>
        <v>4862.3999999999996</v>
      </c>
      <c r="AD76" s="19"/>
      <c r="AE76" s="19">
        <f t="shared" ref="AE76:AE77" si="709">AC76-(P76*12)</f>
        <v>3470.9583531525377</v>
      </c>
      <c r="AF76" s="19"/>
      <c r="AG76" s="34">
        <f t="shared" ref="AG76" si="710">R76</f>
        <v>8628</v>
      </c>
      <c r="AH76" s="34">
        <f t="shared" ref="AH76" si="711">AG76-Z76</f>
        <v>7765.2</v>
      </c>
      <c r="AI76" s="35">
        <f t="shared" ref="AI76:AI77" si="712">(Y76+X76+V76+(P76*12))/AH76</f>
        <v>0.55301108108580099</v>
      </c>
      <c r="AJ76" s="34">
        <f t="shared" ref="AJ76:AJ77" si="713">AC76-(P76*12)-(AC76*0.1)</f>
        <v>2984.7183531525379</v>
      </c>
      <c r="AK76" s="34">
        <f t="shared" ref="AK76" si="714">AJ76-(AJ76*0.06)</f>
        <v>2805.6352519633856</v>
      </c>
      <c r="AL76" s="36">
        <f t="shared" ref="AL76" si="715">AK76/N76</f>
        <v>0.51956208369692325</v>
      </c>
      <c r="AM76" s="36">
        <f t="shared" ref="AM76" si="716">AC76/J76</f>
        <v>0.18008888888888888</v>
      </c>
      <c r="AN76" s="36">
        <f t="shared" ref="AN76:AN77" si="717">(R76-(P76*12)-V76-AA76)/N76</f>
        <v>0.64277006539861814</v>
      </c>
      <c r="AO76" s="37">
        <f t="shared" ref="AO76:AO77" si="718">AC76/(P76*12)</f>
        <v>3.4945051494013848</v>
      </c>
      <c r="AP76" s="38">
        <f t="shared" ref="AP76" si="719">(O76/H76)</f>
        <v>0.59178082191780823</v>
      </c>
      <c r="AQ76" s="38">
        <f t="shared" ref="AQ76" si="720">100%-AP76</f>
        <v>0.40821917808219177</v>
      </c>
      <c r="AR76" s="34">
        <f t="shared" ref="AR76" si="721">AQ76*H76</f>
        <v>14900</v>
      </c>
      <c r="AS76" s="39" t="b">
        <f t="shared" si="322"/>
        <v>1</v>
      </c>
      <c r="AT76" s="40">
        <v>40854</v>
      </c>
    </row>
    <row r="77" spans="1:46" s="4" customFormat="1">
      <c r="A77" s="41" t="s">
        <v>134</v>
      </c>
      <c r="B77" s="4" t="s">
        <v>67</v>
      </c>
      <c r="C77" s="4" t="s">
        <v>68</v>
      </c>
      <c r="D77" s="4">
        <v>29730</v>
      </c>
      <c r="E77" s="4">
        <v>1053912</v>
      </c>
      <c r="F77" s="19"/>
      <c r="G77" s="19">
        <v>43000</v>
      </c>
      <c r="H77" s="19">
        <v>50000</v>
      </c>
      <c r="I77" s="19">
        <f t="shared" ref="I77" si="722">G77*0.85</f>
        <v>36550</v>
      </c>
      <c r="J77" s="19">
        <v>26000</v>
      </c>
      <c r="K77" s="11">
        <f t="shared" ref="K77" ca="1" si="723">TODAY()-AT77</f>
        <v>510</v>
      </c>
      <c r="L77" s="4">
        <v>2</v>
      </c>
      <c r="M77" s="42">
        <v>1.5</v>
      </c>
      <c r="N77" s="19">
        <f t="shared" si="391"/>
        <v>5200</v>
      </c>
      <c r="O77" s="19">
        <f t="shared" ref="O77" si="724">J77-N77</f>
        <v>20800</v>
      </c>
      <c r="P77" s="19">
        <f t="shared" si="393"/>
        <v>111.65889758652473</v>
      </c>
      <c r="Q77" s="19">
        <v>724</v>
      </c>
      <c r="R77" s="19">
        <f t="shared" ref="R77" si="725">Q77*12</f>
        <v>8688</v>
      </c>
      <c r="S77" s="19"/>
      <c r="T77" s="19">
        <f t="shared" si="655"/>
        <v>840</v>
      </c>
      <c r="U77" s="19">
        <v>3000</v>
      </c>
      <c r="V77" s="19">
        <f t="shared" ref="V77" si="726">U77+T77</f>
        <v>3840</v>
      </c>
      <c r="W77" s="19"/>
      <c r="X77" s="19">
        <v>200</v>
      </c>
      <c r="Y77" s="19">
        <f t="shared" ref="Y77" si="727">R77*0.1</f>
        <v>868.80000000000007</v>
      </c>
      <c r="Z77" s="19">
        <f t="shared" ref="Z77" si="728">R77*0.1</f>
        <v>868.80000000000007</v>
      </c>
      <c r="AA77" s="19">
        <f t="shared" ref="AA77" si="729">Z77+Y77+X77</f>
        <v>1937.6000000000001</v>
      </c>
      <c r="AB77" s="19"/>
      <c r="AC77" s="19">
        <f t="shared" ref="AC77" si="730">R77-V77-AA77</f>
        <v>2910.3999999999996</v>
      </c>
      <c r="AD77" s="19"/>
      <c r="AE77" s="19">
        <f t="shared" si="709"/>
        <v>1570.4932289617029</v>
      </c>
      <c r="AF77" s="19"/>
      <c r="AG77" s="34">
        <f t="shared" ref="AG77" si="731">R77</f>
        <v>8688</v>
      </c>
      <c r="AH77" s="34">
        <f t="shared" ref="AH77" si="732">AG77-Z77</f>
        <v>7819.2</v>
      </c>
      <c r="AI77" s="35">
        <f t="shared" si="712"/>
        <v>0.79914911641066821</v>
      </c>
      <c r="AJ77" s="34">
        <f t="shared" si="713"/>
        <v>1279.453228961703</v>
      </c>
      <c r="AK77" s="34">
        <f t="shared" ref="AK77" si="733">AJ77-(AJ77*0.06)</f>
        <v>1202.6860352240008</v>
      </c>
      <c r="AL77" s="36">
        <f t="shared" ref="AL77" si="734">AK77/N77</f>
        <v>0.23128577600461553</v>
      </c>
      <c r="AM77" s="36">
        <f t="shared" ref="AM77" si="735">AC77/J77</f>
        <v>0.11193846153846153</v>
      </c>
      <c r="AN77" s="36">
        <f t="shared" si="717"/>
        <v>0.30201792864648136</v>
      </c>
      <c r="AO77" s="37">
        <f t="shared" si="718"/>
        <v>2.1720914192744352</v>
      </c>
      <c r="AP77" s="38">
        <f t="shared" ref="AP77" si="736">(O77/H77)</f>
        <v>0.41599999999999998</v>
      </c>
      <c r="AQ77" s="38">
        <f t="shared" ref="AQ77" si="737">100%-AP77</f>
        <v>0.58400000000000007</v>
      </c>
      <c r="AR77" s="34">
        <f t="shared" ref="AR77" si="738">AQ77*H77</f>
        <v>29200.000000000004</v>
      </c>
      <c r="AS77" s="39" t="b">
        <f t="shared" ref="AS77" si="739">AND(AI77&lt;=0.85,AM77&gt;=0.08,AN77&gt;0.2,AO77&gt;1.3,AP77&lt;=0.8,AR77&gt;3000)</f>
        <v>1</v>
      </c>
      <c r="AT77" s="40">
        <v>40544</v>
      </c>
    </row>
    <row r="78" spans="1:46" s="4" customFormat="1">
      <c r="A78" s="3" t="s">
        <v>135</v>
      </c>
      <c r="B78" s="4" t="s">
        <v>67</v>
      </c>
      <c r="C78" s="4" t="s">
        <v>68</v>
      </c>
      <c r="D78" s="4">
        <v>29730</v>
      </c>
      <c r="E78" s="4">
        <v>1058588</v>
      </c>
      <c r="F78" s="19">
        <v>35022</v>
      </c>
      <c r="G78" s="19">
        <v>52900</v>
      </c>
      <c r="H78" s="19">
        <v>51500</v>
      </c>
      <c r="I78" s="19">
        <f t="shared" ref="I78" si="740">G78*0.85</f>
        <v>44965</v>
      </c>
      <c r="J78" s="19">
        <v>42000</v>
      </c>
      <c r="K78" s="11">
        <f t="shared" ref="K78" ca="1" si="741">TODAY()-AT78</f>
        <v>27</v>
      </c>
      <c r="L78" s="4">
        <v>3</v>
      </c>
      <c r="M78" s="4">
        <v>1</v>
      </c>
      <c r="N78" s="19">
        <f t="shared" si="391"/>
        <v>8400</v>
      </c>
      <c r="O78" s="19">
        <f t="shared" ref="O78" si="742">J78-N78</f>
        <v>33600</v>
      </c>
      <c r="P78" s="19">
        <f t="shared" si="393"/>
        <v>180.37206533207842</v>
      </c>
      <c r="Q78" s="19">
        <v>997</v>
      </c>
      <c r="R78" s="19">
        <f t="shared" ref="R78" si="743">Q78*12</f>
        <v>11964</v>
      </c>
      <c r="S78" s="19"/>
      <c r="T78" s="19">
        <f t="shared" si="2"/>
        <v>840</v>
      </c>
      <c r="U78" s="19">
        <v>2500</v>
      </c>
      <c r="V78" s="19">
        <f t="shared" ref="V78" si="744">U78+T78</f>
        <v>3340</v>
      </c>
      <c r="W78" s="19">
        <v>222</v>
      </c>
      <c r="X78" s="19">
        <v>200</v>
      </c>
      <c r="Y78" s="19">
        <f t="shared" ref="Y78" si="745">R78*0.1</f>
        <v>1196.4000000000001</v>
      </c>
      <c r="Z78" s="19">
        <f t="shared" ref="Z78" si="746">R78*0.1</f>
        <v>1196.4000000000001</v>
      </c>
      <c r="AA78" s="19">
        <f t="shared" ref="AA78" si="747">Z78+Y78+X78</f>
        <v>2592.8000000000002</v>
      </c>
      <c r="AB78" s="19"/>
      <c r="AC78" s="19">
        <f t="shared" ref="AC78" si="748">R78-V78-AA78</f>
        <v>6031.2</v>
      </c>
      <c r="AD78" s="19"/>
      <c r="AE78" s="19">
        <f t="shared" ref="AE78" si="749">AC78-(P78*12)</f>
        <v>3866.7352160150585</v>
      </c>
      <c r="AF78" s="19"/>
      <c r="AG78" s="34">
        <f t="shared" ref="AG78" si="750">R78</f>
        <v>11964</v>
      </c>
      <c r="AH78" s="34">
        <f t="shared" ref="AH78" si="751">AG78-Z78</f>
        <v>10767.6</v>
      </c>
      <c r="AI78" s="35">
        <f t="shared" ref="AI78" si="752">(Y78+X78+V78+(P78*12))/AH78</f>
        <v>0.64089163638925484</v>
      </c>
      <c r="AJ78" s="34">
        <f t="shared" ref="AJ78" si="753">AC78-(P78*12)-(AC78*0.1)</f>
        <v>3263.6152160150586</v>
      </c>
      <c r="AK78" s="34">
        <f t="shared" ref="AK78" si="754">AJ78-(AJ78*0.06)</f>
        <v>3067.798303054155</v>
      </c>
      <c r="AL78" s="36">
        <f t="shared" ref="AL78" si="755">AK78/N78</f>
        <v>0.36521408369692321</v>
      </c>
      <c r="AM78" s="36">
        <f t="shared" ref="AM78" si="756">AC78/J78</f>
        <v>0.14360000000000001</v>
      </c>
      <c r="AN78" s="36">
        <f t="shared" ref="AN78" si="757">(R78-(P78*12)-V78-AA78)/N78</f>
        <v>0.46032562095417351</v>
      </c>
      <c r="AO78" s="37">
        <f t="shared" ref="AO78" si="758">AC78/(P78*12)</f>
        <v>2.7864625216475503</v>
      </c>
      <c r="AP78" s="38">
        <f t="shared" ref="AP78" si="759">(O78/H78)</f>
        <v>0.65242718446601944</v>
      </c>
      <c r="AQ78" s="38">
        <f t="shared" ref="AQ78" si="760">100%-AP78</f>
        <v>0.34757281553398056</v>
      </c>
      <c r="AR78" s="34">
        <f t="shared" ref="AR78" si="761">AQ78*H78</f>
        <v>17900</v>
      </c>
      <c r="AS78" s="39" t="b">
        <f t="shared" ref="AS78" si="762">AND(AI78&lt;=0.85,AM78&gt;=0.08,AN78&gt;0.2,AO78&gt;1.3,AP78&lt;=0.8,AR78&gt;3000)</f>
        <v>1</v>
      </c>
      <c r="AT78" s="40">
        <v>41027</v>
      </c>
    </row>
    <row r="79" spans="1:46" s="4" customFormat="1">
      <c r="A79" s="3" t="s">
        <v>136</v>
      </c>
      <c r="B79" s="4" t="s">
        <v>118</v>
      </c>
      <c r="C79" s="4" t="s">
        <v>119</v>
      </c>
      <c r="D79" s="4">
        <v>28216</v>
      </c>
      <c r="E79" s="4">
        <v>2036369</v>
      </c>
      <c r="F79" s="19">
        <v>35028</v>
      </c>
      <c r="G79" s="19">
        <v>599000</v>
      </c>
      <c r="H79" s="19">
        <v>578700</v>
      </c>
      <c r="I79" s="19">
        <f t="shared" ref="I79" si="763">G79*0.85</f>
        <v>509150</v>
      </c>
      <c r="J79" s="19">
        <v>500000</v>
      </c>
      <c r="K79" s="11">
        <f t="shared" ref="K79" ca="1" si="764">TODAY()-AT79</f>
        <v>285</v>
      </c>
      <c r="L79" s="4">
        <v>40</v>
      </c>
      <c r="M79" s="4">
        <v>20</v>
      </c>
      <c r="N79" s="19">
        <f t="shared" ref="N79" si="765">J79*0.2</f>
        <v>100000</v>
      </c>
      <c r="O79" s="19">
        <f t="shared" ref="O79" si="766">J79-N79</f>
        <v>400000</v>
      </c>
      <c r="P79" s="19">
        <f t="shared" ref="P79:P80" si="767">PMT(5%/12,360,O79,0)*-1</f>
        <v>2147.2864920485526</v>
      </c>
      <c r="Q79" s="19">
        <v>16000</v>
      </c>
      <c r="R79" s="19">
        <f t="shared" ref="R79" si="768">Q79*12</f>
        <v>192000</v>
      </c>
      <c r="S79" s="19"/>
      <c r="T79" s="19">
        <f t="shared" si="2"/>
        <v>840</v>
      </c>
      <c r="U79" s="19">
        <v>7600</v>
      </c>
      <c r="V79" s="19">
        <f t="shared" ref="V79" si="769">U79+T79</f>
        <v>8440</v>
      </c>
      <c r="W79" s="19">
        <v>228</v>
      </c>
      <c r="X79" s="19">
        <v>200</v>
      </c>
      <c r="Y79" s="19">
        <f t="shared" ref="Y79" si="770">R79*0.1</f>
        <v>19200</v>
      </c>
      <c r="Z79" s="19">
        <f t="shared" ref="Z79" si="771">R79*0.1</f>
        <v>19200</v>
      </c>
      <c r="AA79" s="19">
        <f t="shared" ref="AA79" si="772">Z79+Y79+X79</f>
        <v>38600</v>
      </c>
      <c r="AB79" s="19"/>
      <c r="AC79" s="19">
        <f t="shared" ref="AC79" si="773">R79-V79-AA79</f>
        <v>144960</v>
      </c>
      <c r="AD79" s="19"/>
      <c r="AE79" s="19">
        <f t="shared" ref="AE79" si="774">AC79-(P79*12)</f>
        <v>119192.56209541736</v>
      </c>
      <c r="AF79" s="19"/>
      <c r="AG79" s="34">
        <f t="shared" ref="AG79" si="775">R79</f>
        <v>192000</v>
      </c>
      <c r="AH79" s="34">
        <f t="shared" ref="AH79" si="776">AG79-Z79</f>
        <v>172800</v>
      </c>
      <c r="AI79" s="35">
        <f t="shared" ref="AI79" si="777">(Y79+X79+V79+(P79*12))/AH79</f>
        <v>0.31022822861448285</v>
      </c>
      <c r="AJ79" s="34">
        <f t="shared" ref="AJ79" si="778">AC79-(P79*12)-(AC79*0.1)</f>
        <v>104696.56209541736</v>
      </c>
      <c r="AK79" s="34">
        <f t="shared" ref="AK79" si="779">AJ79-(AJ79*0.06)</f>
        <v>98414.76836969232</v>
      </c>
      <c r="AL79" s="36">
        <f t="shared" ref="AL79" si="780">AK79/N79</f>
        <v>0.98414768369692318</v>
      </c>
      <c r="AM79" s="36">
        <f t="shared" ref="AM79" si="781">AC79/J79</f>
        <v>0.28992000000000001</v>
      </c>
      <c r="AN79" s="36">
        <f t="shared" ref="AN79" si="782">(R79-(P79*12)-V79-AA79)/N79</f>
        <v>1.1919256209541738</v>
      </c>
      <c r="AO79" s="37">
        <f t="shared" ref="AO79" si="783">AC79/(P79*12)</f>
        <v>5.62570483479149</v>
      </c>
      <c r="AP79" s="38">
        <f t="shared" ref="AP79" si="784">(O79/H79)</f>
        <v>0.6912044237083117</v>
      </c>
      <c r="AQ79" s="38">
        <f t="shared" ref="AQ79" si="785">100%-AP79</f>
        <v>0.3087955762916883</v>
      </c>
      <c r="AR79" s="34">
        <f t="shared" ref="AR79" si="786">AQ79*H79</f>
        <v>178700.00000000003</v>
      </c>
      <c r="AS79" s="39" t="b">
        <f t="shared" ref="AS79" si="787">AND(AI79&lt;=0.85,AM79&gt;=0.08,AN79&gt;0.2,AO79&gt;1.3,AP79&lt;=0.8,AR79&gt;3000)</f>
        <v>1</v>
      </c>
      <c r="AT79" s="40">
        <v>40769</v>
      </c>
    </row>
    <row r="80" spans="1:46" s="4" customFormat="1" ht="15.75" customHeight="1">
      <c r="A80" s="3" t="s">
        <v>137</v>
      </c>
      <c r="B80" s="4" t="s">
        <v>118</v>
      </c>
      <c r="C80" s="4" t="s">
        <v>119</v>
      </c>
      <c r="D80" s="4">
        <v>28269</v>
      </c>
      <c r="E80" s="4">
        <v>2068236</v>
      </c>
      <c r="F80" s="19">
        <v>35029</v>
      </c>
      <c r="G80" s="19">
        <v>689000</v>
      </c>
      <c r="H80" s="19">
        <v>650000</v>
      </c>
      <c r="I80" s="19">
        <f t="shared" ref="I80" si="788">G80*0.85</f>
        <v>585650</v>
      </c>
      <c r="J80" s="19">
        <v>600000</v>
      </c>
      <c r="K80" s="11">
        <f t="shared" ref="K80" ca="1" si="789">TODAY()-AT80</f>
        <v>90</v>
      </c>
      <c r="L80" s="4">
        <v>23</v>
      </c>
      <c r="M80" s="4">
        <v>8</v>
      </c>
      <c r="N80" s="19">
        <f t="shared" ref="N80" si="790">J80*0.2</f>
        <v>120000</v>
      </c>
      <c r="O80" s="19">
        <f t="shared" ref="O80" si="791">J80-N80</f>
        <v>480000</v>
      </c>
      <c r="P80" s="19">
        <f t="shared" si="767"/>
        <v>2576.7437904582634</v>
      </c>
      <c r="Q80" s="19">
        <v>6700</v>
      </c>
      <c r="R80" s="19">
        <f t="shared" ref="R80" si="792">Q80*12</f>
        <v>80400</v>
      </c>
      <c r="S80" s="19"/>
      <c r="T80" s="19">
        <f t="shared" si="2"/>
        <v>840</v>
      </c>
      <c r="U80" s="19">
        <v>7000</v>
      </c>
      <c r="V80" s="19">
        <f t="shared" ref="V80" si="793">U80+T80</f>
        <v>7840</v>
      </c>
      <c r="W80" s="19">
        <v>229</v>
      </c>
      <c r="X80" s="19">
        <v>200</v>
      </c>
      <c r="Y80" s="19">
        <f t="shared" ref="Y80" si="794">R80*0.1</f>
        <v>8040</v>
      </c>
      <c r="Z80" s="19">
        <f t="shared" ref="Z80" si="795">R80*0.1</f>
        <v>8040</v>
      </c>
      <c r="AA80" s="19">
        <f t="shared" ref="AA80" si="796">Z80+Y80+X80</f>
        <v>16280</v>
      </c>
      <c r="AB80" s="19"/>
      <c r="AC80" s="19">
        <f t="shared" ref="AC80" si="797">R80-V80-AA80</f>
        <v>56280</v>
      </c>
      <c r="AD80" s="19"/>
      <c r="AE80" s="19">
        <f t="shared" ref="AE80" si="798">AC80-(P80*12)</f>
        <v>25359.07451450084</v>
      </c>
      <c r="AF80" s="19"/>
      <c r="AG80" s="34">
        <f t="shared" ref="AG80" si="799">R80</f>
        <v>80400</v>
      </c>
      <c r="AH80" s="34">
        <f t="shared" ref="AH80" si="800">AG80-Z80</f>
        <v>72360</v>
      </c>
      <c r="AI80" s="35">
        <f t="shared" ref="AI80" si="801">(Y80+X80+V80+(P80*12))/AH80</f>
        <v>0.64954291715725765</v>
      </c>
      <c r="AJ80" s="34">
        <f t="shared" ref="AJ80" si="802">AC80-(P80*12)-(AC80*0.1)</f>
        <v>19731.07451450084</v>
      </c>
      <c r="AK80" s="34">
        <f t="shared" ref="AK80" si="803">AJ80-(AJ80*0.06)</f>
        <v>18547.210043630788</v>
      </c>
      <c r="AL80" s="36">
        <f t="shared" ref="AL80" si="804">AK80/N80</f>
        <v>0.15456008369692323</v>
      </c>
      <c r="AM80" s="36">
        <f t="shared" ref="AM80" si="805">AC80/J80</f>
        <v>9.3799999999999994E-2</v>
      </c>
      <c r="AN80" s="36">
        <f t="shared" ref="AN80" si="806">(R80-(P80*12)-V80-AA80)/N80</f>
        <v>0.21132562095417368</v>
      </c>
      <c r="AO80" s="37">
        <f t="shared" ref="AO80" si="807">AC80/(P80*12)</f>
        <v>1.8201266332210324</v>
      </c>
      <c r="AP80" s="38">
        <f t="shared" ref="AP80" si="808">(O80/H80)</f>
        <v>0.7384615384615385</v>
      </c>
      <c r="AQ80" s="38">
        <f t="shared" ref="AQ80" si="809">100%-AP80</f>
        <v>0.2615384615384615</v>
      </c>
      <c r="AR80" s="34">
        <f t="shared" ref="AR80" si="810">AQ80*H80</f>
        <v>169999.99999999997</v>
      </c>
      <c r="AS80" s="39" t="b">
        <f t="shared" ref="AS80" si="811">AND(AI80&lt;=0.85,AM80&gt;=0.08,AN80&gt;0.2,AO80&gt;1.3,AP80&lt;=0.8,AR80&gt;3000)</f>
        <v>1</v>
      </c>
      <c r="AT80" s="40">
        <v>40964</v>
      </c>
    </row>
    <row r="81" spans="1:46" s="4" customFormat="1" ht="15.75" customHeight="1">
      <c r="A81" s="3" t="s">
        <v>138</v>
      </c>
      <c r="B81" s="4" t="s">
        <v>93</v>
      </c>
      <c r="C81" s="4" t="s">
        <v>68</v>
      </c>
      <c r="D81" s="4">
        <v>29209</v>
      </c>
      <c r="E81" s="4">
        <v>307117</v>
      </c>
      <c r="F81" s="19">
        <v>35030</v>
      </c>
      <c r="G81" s="19">
        <v>167000</v>
      </c>
      <c r="H81" s="19">
        <v>150000</v>
      </c>
      <c r="I81" s="19">
        <f t="shared" ref="I81" si="812">G81*0.85</f>
        <v>141950</v>
      </c>
      <c r="J81" s="19">
        <v>130000</v>
      </c>
      <c r="K81" s="11">
        <f t="shared" ref="K81" ca="1" si="813">TODAY()-AT81</f>
        <v>77</v>
      </c>
      <c r="L81" s="4">
        <v>12</v>
      </c>
      <c r="M81" s="4">
        <v>6</v>
      </c>
      <c r="N81" s="19">
        <f t="shared" ref="N81" si="814">J81*0.2</f>
        <v>26000</v>
      </c>
      <c r="O81" s="19">
        <f t="shared" ref="O81" si="815">J81-N81</f>
        <v>104000</v>
      </c>
      <c r="P81" s="19">
        <f t="shared" ref="P81" si="816">PMT(5%/12,360,O81,0)*-1</f>
        <v>558.29448793262372</v>
      </c>
      <c r="Q81" s="19">
        <v>3200</v>
      </c>
      <c r="R81" s="19">
        <f t="shared" ref="R81" si="817">Q81*12</f>
        <v>38400</v>
      </c>
      <c r="S81" s="19"/>
      <c r="T81" s="19">
        <f t="shared" si="2"/>
        <v>840</v>
      </c>
      <c r="U81" s="19">
        <v>4000</v>
      </c>
      <c r="V81" s="19">
        <f t="shared" ref="V81" si="818">U81+T81</f>
        <v>4840</v>
      </c>
      <c r="W81" s="19">
        <v>230</v>
      </c>
      <c r="X81" s="19">
        <v>200</v>
      </c>
      <c r="Y81" s="19">
        <f t="shared" ref="Y81" si="819">R81*0.1</f>
        <v>3840</v>
      </c>
      <c r="Z81" s="19">
        <f t="shared" ref="Z81" si="820">R81*0.1</f>
        <v>3840</v>
      </c>
      <c r="AA81" s="19">
        <f t="shared" ref="AA81" si="821">Z81+Y81+X81</f>
        <v>7880</v>
      </c>
      <c r="AB81" s="19"/>
      <c r="AC81" s="19">
        <f t="shared" ref="AC81" si="822">R81-V81-AA81</f>
        <v>25680</v>
      </c>
      <c r="AD81" s="19"/>
      <c r="AE81" s="19">
        <f t="shared" ref="AE81" si="823">AC81-(P81*12)</f>
        <v>18980.466144808517</v>
      </c>
      <c r="AF81" s="19"/>
      <c r="AG81" s="34">
        <f t="shared" ref="AG81" si="824">R81</f>
        <v>38400</v>
      </c>
      <c r="AH81" s="34">
        <f t="shared" ref="AH81" si="825">AG81-Z81</f>
        <v>34560</v>
      </c>
      <c r="AI81" s="35">
        <f t="shared" ref="AI81" si="826">(Y81+X81+V81+(P81*12))/AH81</f>
        <v>0.4507966971988277</v>
      </c>
      <c r="AJ81" s="34">
        <f t="shared" ref="AJ81" si="827">AC81-(P81*12)-(AC81*0.1)</f>
        <v>16412.466144808517</v>
      </c>
      <c r="AK81" s="34">
        <f t="shared" ref="AK81" si="828">AJ81-(AJ81*0.06)</f>
        <v>15427.718176120006</v>
      </c>
      <c r="AL81" s="36">
        <f t="shared" ref="AL81" si="829">AK81/N81</f>
        <v>0.59337377600461561</v>
      </c>
      <c r="AM81" s="36">
        <f t="shared" ref="AM81" si="830">AC81/J81</f>
        <v>0.19753846153846155</v>
      </c>
      <c r="AN81" s="36">
        <f t="shared" ref="AN81" si="831">(R81-(P81*12)-V81-AA81)/N81</f>
        <v>0.73001792864648141</v>
      </c>
      <c r="AO81" s="37">
        <f t="shared" ref="AO81" si="832">AC81/(P81*12)</f>
        <v>3.8331025046019445</v>
      </c>
      <c r="AP81" s="38">
        <f t="shared" ref="AP81" si="833">(O81/H81)</f>
        <v>0.69333333333333336</v>
      </c>
      <c r="AQ81" s="38">
        <f t="shared" ref="AQ81" si="834">100%-AP81</f>
        <v>0.30666666666666664</v>
      </c>
      <c r="AR81" s="34">
        <f t="shared" ref="AR81" si="835">AQ81*H81</f>
        <v>46000</v>
      </c>
      <c r="AS81" s="39" t="b">
        <f t="shared" ref="AS81" si="836">AND(AI81&lt;=0.85,AM81&gt;=0.08,AN81&gt;0.2,AO81&gt;1.3,AP81&lt;=0.8,AR81&gt;3000)</f>
        <v>1</v>
      </c>
      <c r="AT81" s="40">
        <v>40977</v>
      </c>
    </row>
    <row r="82" spans="1:46" s="4" customFormat="1" ht="15.75" customHeight="1">
      <c r="A82" s="3" t="s">
        <v>139</v>
      </c>
      <c r="B82" s="4" t="s">
        <v>140</v>
      </c>
      <c r="C82" s="4" t="s">
        <v>68</v>
      </c>
      <c r="D82" s="4">
        <v>29605</v>
      </c>
      <c r="E82" s="4">
        <v>1239943</v>
      </c>
      <c r="F82" s="19">
        <v>35031</v>
      </c>
      <c r="G82" s="19">
        <v>150000</v>
      </c>
      <c r="H82" s="19">
        <v>144728</v>
      </c>
      <c r="I82" s="19">
        <f t="shared" ref="I82" si="837">G82*0.85</f>
        <v>127500</v>
      </c>
      <c r="J82" s="19">
        <v>100000</v>
      </c>
      <c r="K82" s="11">
        <f t="shared" ref="K82" ca="1" si="838">TODAY()-AT82</f>
        <v>30</v>
      </c>
      <c r="L82" s="4">
        <v>2</v>
      </c>
      <c r="M82" s="4">
        <v>2</v>
      </c>
      <c r="N82" s="19">
        <f t="shared" ref="N82" si="839">J82*0.2</f>
        <v>20000</v>
      </c>
      <c r="O82" s="19">
        <f t="shared" ref="O82" si="840">J82-N82</f>
        <v>80000</v>
      </c>
      <c r="P82" s="19">
        <f t="shared" ref="P82" si="841">PMT(5%/12,360,O82,0)*-1</f>
        <v>429.45729840971052</v>
      </c>
      <c r="Q82" s="19">
        <v>1300</v>
      </c>
      <c r="R82" s="19">
        <f t="shared" ref="R82" si="842">Q82*12</f>
        <v>15600</v>
      </c>
      <c r="S82" s="19"/>
      <c r="T82" s="19">
        <f t="shared" si="2"/>
        <v>840</v>
      </c>
      <c r="U82" s="19">
        <v>2751</v>
      </c>
      <c r="V82" s="19">
        <f t="shared" ref="V82" si="843">U82+T82</f>
        <v>3591</v>
      </c>
      <c r="W82" s="19">
        <v>231</v>
      </c>
      <c r="X82" s="19">
        <v>200</v>
      </c>
      <c r="Y82" s="19">
        <f t="shared" ref="Y82" si="844">R82*0.1</f>
        <v>1560</v>
      </c>
      <c r="Z82" s="19">
        <f t="shared" ref="Z82" si="845">R82*0.1</f>
        <v>1560</v>
      </c>
      <c r="AA82" s="19">
        <f t="shared" ref="AA82" si="846">Z82+Y82+X82</f>
        <v>3320</v>
      </c>
      <c r="AB82" s="19"/>
      <c r="AC82" s="19">
        <f t="shared" ref="AC82" si="847">R82-V82-AA82</f>
        <v>8689</v>
      </c>
      <c r="AD82" s="19"/>
      <c r="AE82" s="19">
        <f t="shared" ref="AE82" si="848">AC82-(P82*12)</f>
        <v>3535.512419083474</v>
      </c>
      <c r="AF82" s="19"/>
      <c r="AG82" s="34">
        <f t="shared" ref="AG82" si="849">R82</f>
        <v>15600</v>
      </c>
      <c r="AH82" s="34">
        <f t="shared" ref="AH82" si="850">AG82-Z82</f>
        <v>14040</v>
      </c>
      <c r="AI82" s="35">
        <f t="shared" ref="AI82" si="851">(Y82+X82+V82+(P82*12))/AH82</f>
        <v>0.74818287613365575</v>
      </c>
      <c r="AJ82" s="34">
        <f t="shared" ref="AJ82" si="852">AC82-(P82*12)-(AC82*0.1)</f>
        <v>2666.6124190834739</v>
      </c>
      <c r="AK82" s="34">
        <f t="shared" ref="AK82" si="853">AJ82-(AJ82*0.06)</f>
        <v>2506.6156739384655</v>
      </c>
      <c r="AL82" s="36">
        <f t="shared" ref="AL82" si="854">AK82/N82</f>
        <v>0.12533078369692327</v>
      </c>
      <c r="AM82" s="36">
        <f t="shared" ref="AM82" si="855">AC82/J82</f>
        <v>8.6889999999999995E-2</v>
      </c>
      <c r="AN82" s="36">
        <f t="shared" ref="AN82" si="856">(R82-(P82*12)-V82-AA82)/N82</f>
        <v>0.17677562095417371</v>
      </c>
      <c r="AO82" s="37">
        <f t="shared" ref="AO82" si="857">AC82/(P82*12)</f>
        <v>1.6860426776180759</v>
      </c>
      <c r="AP82" s="38">
        <f t="shared" ref="AP82" si="858">(O82/H82)</f>
        <v>0.55276104140180204</v>
      </c>
      <c r="AQ82" s="38">
        <f t="shared" ref="AQ82" si="859">100%-AP82</f>
        <v>0.44723895859819796</v>
      </c>
      <c r="AR82" s="34">
        <f t="shared" ref="AR82" si="860">AQ82*H82</f>
        <v>64727.999999999993</v>
      </c>
      <c r="AS82" s="39" t="b">
        <f t="shared" ref="AS82" si="861">AND(AI82&lt;=0.85,AM82&gt;=0.08,AN82&gt;0.2,AO82&gt;1.3,AP82&lt;=0.8,AR82&gt;3000)</f>
        <v>0</v>
      </c>
      <c r="AT82" s="40">
        <v>41024</v>
      </c>
    </row>
    <row r="83" spans="1:46" s="4" customFormat="1" ht="15.75" customHeight="1">
      <c r="A83" s="3" t="s">
        <v>141</v>
      </c>
      <c r="B83" s="4" t="s">
        <v>140</v>
      </c>
      <c r="C83" s="4" t="s">
        <v>68</v>
      </c>
      <c r="D83" s="4">
        <v>29617</v>
      </c>
      <c r="E83" s="4">
        <v>1215481</v>
      </c>
      <c r="F83" s="19">
        <v>35032</v>
      </c>
      <c r="G83" s="19">
        <v>345000</v>
      </c>
      <c r="H83" s="19">
        <v>219811</v>
      </c>
      <c r="I83" s="19">
        <f t="shared" ref="I83" si="862">G83*0.85</f>
        <v>293250</v>
      </c>
      <c r="J83" s="19">
        <v>200000</v>
      </c>
      <c r="K83" s="11">
        <f t="shared" ref="K83" ca="1" si="863">TODAY()-AT83</f>
        <v>519</v>
      </c>
      <c r="L83" s="4">
        <v>17</v>
      </c>
      <c r="M83" s="4">
        <v>12</v>
      </c>
      <c r="N83" s="19">
        <f t="shared" ref="N83" si="864">J83*0.2</f>
        <v>40000</v>
      </c>
      <c r="O83" s="19">
        <f t="shared" ref="O83" si="865">J83-N83</f>
        <v>160000</v>
      </c>
      <c r="P83" s="19">
        <f t="shared" ref="P83" si="866">PMT(5%/12,360,O83,0)*-1</f>
        <v>858.91459681942104</v>
      </c>
      <c r="Q83" s="19">
        <v>4845</v>
      </c>
      <c r="R83" s="19">
        <f t="shared" ref="R83" si="867">Q83*12</f>
        <v>58140</v>
      </c>
      <c r="S83" s="19"/>
      <c r="T83" s="19">
        <f t="shared" si="2"/>
        <v>840</v>
      </c>
      <c r="U83" s="19">
        <v>4601</v>
      </c>
      <c r="V83" s="19">
        <f t="shared" ref="V83" si="868">U83+T83</f>
        <v>5441</v>
      </c>
      <c r="W83" s="19">
        <v>232</v>
      </c>
      <c r="X83" s="19">
        <v>200</v>
      </c>
      <c r="Y83" s="19">
        <f t="shared" ref="Y83" si="869">R83*0.1</f>
        <v>5814</v>
      </c>
      <c r="Z83" s="19">
        <f t="shared" ref="Z83" si="870">R83*0.1</f>
        <v>5814</v>
      </c>
      <c r="AA83" s="19">
        <f t="shared" ref="AA83" si="871">Z83+Y83+X83</f>
        <v>11828</v>
      </c>
      <c r="AB83" s="19"/>
      <c r="AC83" s="19">
        <f t="shared" ref="AC83" si="872">R83-V83-AA83</f>
        <v>40871</v>
      </c>
      <c r="AD83" s="19"/>
      <c r="AE83" s="19">
        <f t="shared" ref="AE83" si="873">AC83-(P83*12)</f>
        <v>30564.024838166948</v>
      </c>
      <c r="AF83" s="19"/>
      <c r="AG83" s="34">
        <f t="shared" ref="AG83" si="874">R83</f>
        <v>58140</v>
      </c>
      <c r="AH83" s="34">
        <f t="shared" ref="AH83" si="875">AG83-Z83</f>
        <v>52326</v>
      </c>
      <c r="AI83" s="35">
        <f t="shared" ref="AI83" si="876">(Y83+X83+V83+(P83*12))/AH83</f>
        <v>0.41589219817744622</v>
      </c>
      <c r="AJ83" s="34">
        <f t="shared" ref="AJ83" si="877">AC83-(P83*12)-(AC83*0.1)</f>
        <v>26476.924838166946</v>
      </c>
      <c r="AK83" s="34">
        <f t="shared" ref="AK83" si="878">AJ83-(AJ83*0.06)</f>
        <v>24888.30934787693</v>
      </c>
      <c r="AL83" s="36">
        <f t="shared" ref="AL83" si="879">AK83/N83</f>
        <v>0.62220773369692328</v>
      </c>
      <c r="AM83" s="36">
        <f t="shared" ref="AM83" si="880">AC83/J83</f>
        <v>0.20435500000000001</v>
      </c>
      <c r="AN83" s="36">
        <f t="shared" ref="AN83" si="881">(R83-(P83*12)-V83-AA83)/N83</f>
        <v>0.76410062095417375</v>
      </c>
      <c r="AO83" s="37">
        <f t="shared" ref="AO83" si="882">AC83/(P83*12)</f>
        <v>3.9653729011927945</v>
      </c>
      <c r="AP83" s="38">
        <f t="shared" ref="AP83" si="883">(O83/H83)</f>
        <v>0.72789805787699435</v>
      </c>
      <c r="AQ83" s="38">
        <f t="shared" ref="AQ83" si="884">100%-AP83</f>
        <v>0.27210194212300565</v>
      </c>
      <c r="AR83" s="34">
        <f t="shared" ref="AR83" si="885">AQ83*H83</f>
        <v>59810.999999999993</v>
      </c>
      <c r="AS83" s="39" t="b">
        <f t="shared" ref="AS83" si="886">AND(AI83&lt;=0.85,AM83&gt;=0.08,AN83&gt;0.2,AO83&gt;1.3,AP83&lt;=0.8,AR83&gt;3000)</f>
        <v>1</v>
      </c>
      <c r="AT83" s="40">
        <v>40535</v>
      </c>
    </row>
    <row r="84" spans="1:46" s="4" customFormat="1" ht="15.75" customHeight="1">
      <c r="A84" s="3" t="s">
        <v>142</v>
      </c>
      <c r="B84" s="4" t="s">
        <v>93</v>
      </c>
      <c r="C84" s="4" t="s">
        <v>68</v>
      </c>
      <c r="D84" s="4">
        <v>29204</v>
      </c>
      <c r="E84" s="4">
        <v>311982</v>
      </c>
      <c r="F84" s="19">
        <v>35033</v>
      </c>
      <c r="G84" s="19">
        <v>249000</v>
      </c>
      <c r="H84" s="19">
        <v>220000</v>
      </c>
      <c r="I84" s="19">
        <f t="shared" ref="I84" si="887">G84*0.85</f>
        <v>211650</v>
      </c>
      <c r="J84" s="19">
        <v>200000</v>
      </c>
      <c r="K84" s="11">
        <f t="shared" ref="K84" ca="1" si="888">TODAY()-AT84</f>
        <v>1</v>
      </c>
      <c r="L84" s="4">
        <v>8</v>
      </c>
      <c r="M84" s="4">
        <v>4</v>
      </c>
      <c r="N84" s="19">
        <f t="shared" ref="N84" si="889">J84*0.2</f>
        <v>40000</v>
      </c>
      <c r="O84" s="19">
        <f t="shared" ref="O84" si="890">J84-N84</f>
        <v>160000</v>
      </c>
      <c r="P84" s="19">
        <f t="shared" ref="P84" si="891">PMT(5%/12,360,O84,0)*-1</f>
        <v>858.91459681942104</v>
      </c>
      <c r="Q84" s="19">
        <v>3880</v>
      </c>
      <c r="R84" s="19">
        <f t="shared" ref="R84" si="892">Q84*12</f>
        <v>46560</v>
      </c>
      <c r="S84" s="19"/>
      <c r="T84" s="19">
        <f t="shared" si="2"/>
        <v>840</v>
      </c>
      <c r="U84" s="19">
        <v>2000</v>
      </c>
      <c r="V84" s="19">
        <f t="shared" ref="V84" si="893">U84+T84</f>
        <v>2840</v>
      </c>
      <c r="W84" s="19">
        <v>233</v>
      </c>
      <c r="X84" s="19">
        <v>200</v>
      </c>
      <c r="Y84" s="19">
        <f t="shared" ref="Y84" si="894">R84*0.1</f>
        <v>4656</v>
      </c>
      <c r="Z84" s="19">
        <f t="shared" ref="Z84" si="895">R84*0.1</f>
        <v>4656</v>
      </c>
      <c r="AA84" s="19">
        <f t="shared" ref="AA84" si="896">Z84+Y84+X84</f>
        <v>9512</v>
      </c>
      <c r="AB84" s="19"/>
      <c r="AC84" s="19">
        <f t="shared" ref="AC84" si="897">R84-V84-AA84</f>
        <v>34208</v>
      </c>
      <c r="AD84" s="19"/>
      <c r="AE84" s="19">
        <f t="shared" ref="AE84" si="898">AC84-(P84*12)</f>
        <v>23901.024838166948</v>
      </c>
      <c r="AF84" s="19"/>
      <c r="AG84" s="34">
        <f t="shared" ref="AG84" si="899">R84</f>
        <v>46560</v>
      </c>
      <c r="AH84" s="34">
        <f t="shared" ref="AH84" si="900">AG84-Z84</f>
        <v>41904</v>
      </c>
      <c r="AI84" s="35">
        <f t="shared" ref="AI84" si="901">(Y84+X84+V84+(P84*12))/AH84</f>
        <v>0.42962426407581739</v>
      </c>
      <c r="AJ84" s="34">
        <f t="shared" ref="AJ84" si="902">AC84-(P84*12)-(AC84*0.1)</f>
        <v>20480.224838166949</v>
      </c>
      <c r="AK84" s="34">
        <f t="shared" ref="AK84" si="903">AJ84-(AJ84*0.06)</f>
        <v>19251.411347876932</v>
      </c>
      <c r="AL84" s="36">
        <f t="shared" ref="AL84" si="904">AK84/N84</f>
        <v>0.48128528369692331</v>
      </c>
      <c r="AM84" s="36">
        <f t="shared" ref="AM84" si="905">AC84/J84</f>
        <v>0.17104</v>
      </c>
      <c r="AN84" s="36">
        <f t="shared" ref="AN84" si="906">(R84-(P84*12)-V84-AA84)/N84</f>
        <v>0.59752562095417383</v>
      </c>
      <c r="AO84" s="37">
        <f t="shared" ref="AO84" si="907">AC84/(P84*12)</f>
        <v>3.3189174770375844</v>
      </c>
      <c r="AP84" s="38">
        <f t="shared" ref="AP84" si="908">(O84/H84)</f>
        <v>0.72727272727272729</v>
      </c>
      <c r="AQ84" s="38">
        <f t="shared" ref="AQ84" si="909">100%-AP84</f>
        <v>0.27272727272727271</v>
      </c>
      <c r="AR84" s="34">
        <f t="shared" ref="AR84" si="910">AQ84*H84</f>
        <v>59999.999999999993</v>
      </c>
      <c r="AS84" s="39" t="b">
        <f t="shared" ref="AS84" si="911">AND(AI84&lt;=0.85,AM84&gt;=0.08,AN84&gt;0.2,AO84&gt;1.3,AP84&lt;=0.8,AR84&gt;3000)</f>
        <v>1</v>
      </c>
      <c r="AT84" s="40">
        <v>41053</v>
      </c>
    </row>
    <row r="85" spans="1:46" s="4" customFormat="1" ht="15.75" customHeight="1">
      <c r="A85" s="3" t="s">
        <v>143</v>
      </c>
      <c r="B85" s="4" t="s">
        <v>93</v>
      </c>
      <c r="C85" s="4" t="s">
        <v>68</v>
      </c>
      <c r="D85" s="4">
        <v>29204</v>
      </c>
      <c r="E85" s="4">
        <v>277542</v>
      </c>
      <c r="F85" s="19">
        <v>35035</v>
      </c>
      <c r="G85" s="19">
        <v>129450</v>
      </c>
      <c r="H85" s="19">
        <v>176700</v>
      </c>
      <c r="I85" s="19">
        <f t="shared" ref="I85" si="912">G85*0.85</f>
        <v>110032.5</v>
      </c>
      <c r="J85" s="19">
        <v>100000</v>
      </c>
      <c r="K85" s="11">
        <f t="shared" ref="K85" ca="1" si="913">TODAY()-AT85</f>
        <v>591</v>
      </c>
      <c r="L85" s="4">
        <v>3</v>
      </c>
      <c r="M85" s="4">
        <v>3</v>
      </c>
      <c r="N85" s="19">
        <f t="shared" ref="N85" si="914">J85*0.2</f>
        <v>20000</v>
      </c>
      <c r="O85" s="19">
        <f t="shared" ref="O85" si="915">J85-N85</f>
        <v>80000</v>
      </c>
      <c r="P85" s="19">
        <f t="shared" ref="P85" si="916">PMT(5%/12,360,O85,0)*-1</f>
        <v>429.45729840971052</v>
      </c>
      <c r="Q85" s="19">
        <v>1785</v>
      </c>
      <c r="R85" s="19">
        <f t="shared" ref="R85" si="917">Q85*12</f>
        <v>21420</v>
      </c>
      <c r="S85" s="19"/>
      <c r="T85" s="19">
        <f t="shared" si="2"/>
        <v>840</v>
      </c>
      <c r="U85" s="19">
        <v>4490</v>
      </c>
      <c r="V85" s="19">
        <f t="shared" ref="V85" si="918">U85+T85</f>
        <v>5330</v>
      </c>
      <c r="W85" s="19">
        <v>235</v>
      </c>
      <c r="X85" s="19">
        <v>200</v>
      </c>
      <c r="Y85" s="19">
        <f t="shared" ref="Y85" si="919">R85*0.1</f>
        <v>2142</v>
      </c>
      <c r="Z85" s="19">
        <f t="shared" ref="Z85" si="920">R85*0.1</f>
        <v>2142</v>
      </c>
      <c r="AA85" s="19">
        <f t="shared" ref="AA85" si="921">Z85+Y85+X85</f>
        <v>4484</v>
      </c>
      <c r="AB85" s="19"/>
      <c r="AC85" s="19">
        <f t="shared" ref="AC85" si="922">R85-V85-AA85</f>
        <v>11606</v>
      </c>
      <c r="AD85" s="19"/>
      <c r="AE85" s="19">
        <f t="shared" ref="AE85" si="923">AC85-(P85*12)</f>
        <v>6452.512419083474</v>
      </c>
      <c r="AF85" s="19"/>
      <c r="AG85" s="34">
        <f t="shared" ref="AG85" si="924">R85</f>
        <v>21420</v>
      </c>
      <c r="AH85" s="34">
        <f t="shared" ref="AH85" si="925">AG85-Z85</f>
        <v>19278</v>
      </c>
      <c r="AI85" s="35">
        <f t="shared" ref="AI85" si="926">(Y85+X85+V85+(P85*12))/AH85</f>
        <v>0.66529139853286268</v>
      </c>
      <c r="AJ85" s="34">
        <f t="shared" ref="AJ85" si="927">AC85-(P85*12)-(AC85*0.1)</f>
        <v>5291.9124190834737</v>
      </c>
      <c r="AK85" s="34">
        <f t="shared" ref="AK85" si="928">AJ85-(AJ85*0.06)</f>
        <v>4974.3976739384652</v>
      </c>
      <c r="AL85" s="36">
        <f t="shared" ref="AL85" si="929">AK85/N85</f>
        <v>0.24871988369692327</v>
      </c>
      <c r="AM85" s="36">
        <f t="shared" ref="AM85" si="930">AC85/J85</f>
        <v>0.11606</v>
      </c>
      <c r="AN85" s="36">
        <f t="shared" ref="AN85" si="931">(R85-(P85*12)-V85-AA85)/N85</f>
        <v>0.32262562095417369</v>
      </c>
      <c r="AO85" s="37">
        <f t="shared" ref="AO85" si="932">AC85/(P85*12)</f>
        <v>2.2520671327466211</v>
      </c>
      <c r="AP85" s="38">
        <f t="shared" ref="AP85" si="933">(O85/H85)</f>
        <v>0.45274476513865308</v>
      </c>
      <c r="AQ85" s="38">
        <f t="shared" ref="AQ85" si="934">100%-AP85</f>
        <v>0.54725523486134686</v>
      </c>
      <c r="AR85" s="34">
        <f t="shared" ref="AR85" si="935">AQ85*H85</f>
        <v>96699.999999999985</v>
      </c>
      <c r="AS85" s="39" t="b">
        <f t="shared" ref="AS85" si="936">AND(AI85&lt;=0.85,AM85&gt;=0.08,AN85&gt;0.2,AO85&gt;1.3,AP85&lt;=0.8,AR85&gt;3000)</f>
        <v>1</v>
      </c>
      <c r="AT85" s="40">
        <v>40463</v>
      </c>
    </row>
    <row r="86" spans="1:46" s="4" customFormat="1" ht="15.75" customHeight="1">
      <c r="A86" s="3" t="s">
        <v>144</v>
      </c>
      <c r="B86" s="4" t="s">
        <v>93</v>
      </c>
      <c r="C86" s="4" t="s">
        <v>68</v>
      </c>
      <c r="D86" s="4">
        <v>29204</v>
      </c>
      <c r="E86" s="4">
        <v>277540</v>
      </c>
      <c r="F86" s="19">
        <v>35036</v>
      </c>
      <c r="G86" s="19">
        <v>129450</v>
      </c>
      <c r="H86" s="19">
        <v>176700</v>
      </c>
      <c r="I86" s="19">
        <f t="shared" ref="I86" si="937">G86*0.85</f>
        <v>110032.5</v>
      </c>
      <c r="J86" s="19">
        <v>100000</v>
      </c>
      <c r="K86" s="11">
        <f t="shared" ref="K86" ca="1" si="938">TODAY()-AT86</f>
        <v>591</v>
      </c>
      <c r="L86" s="4">
        <v>3</v>
      </c>
      <c r="M86" s="4">
        <v>3</v>
      </c>
      <c r="N86" s="19">
        <f t="shared" ref="N86" si="939">J86*0.2</f>
        <v>20000</v>
      </c>
      <c r="O86" s="19">
        <f t="shared" ref="O86" si="940">J86-N86</f>
        <v>80000</v>
      </c>
      <c r="P86" s="19">
        <f t="shared" ref="P86" si="941">PMT(5%/12,360,O86,0)*-1</f>
        <v>429.45729840971052</v>
      </c>
      <c r="Q86" s="19">
        <v>1785</v>
      </c>
      <c r="R86" s="19">
        <f t="shared" ref="R86" si="942">Q86*12</f>
        <v>21420</v>
      </c>
      <c r="S86" s="19"/>
      <c r="T86" s="19">
        <f t="shared" si="2"/>
        <v>840</v>
      </c>
      <c r="U86" s="19">
        <v>4490</v>
      </c>
      <c r="V86" s="19">
        <f t="shared" ref="V86" si="943">U86+T86</f>
        <v>5330</v>
      </c>
      <c r="W86" s="19">
        <v>236</v>
      </c>
      <c r="X86" s="19">
        <v>200</v>
      </c>
      <c r="Y86" s="19">
        <f t="shared" ref="Y86" si="944">R86*0.1</f>
        <v>2142</v>
      </c>
      <c r="Z86" s="19">
        <f t="shared" ref="Z86" si="945">R86*0.1</f>
        <v>2142</v>
      </c>
      <c r="AA86" s="19">
        <f t="shared" ref="AA86" si="946">Z86+Y86+X86</f>
        <v>4484</v>
      </c>
      <c r="AB86" s="19"/>
      <c r="AC86" s="19">
        <f t="shared" ref="AC86" si="947">R86-V86-AA86</f>
        <v>11606</v>
      </c>
      <c r="AD86" s="19"/>
      <c r="AE86" s="19">
        <f t="shared" ref="AE86" si="948">AC86-(P86*12)</f>
        <v>6452.512419083474</v>
      </c>
      <c r="AF86" s="19"/>
      <c r="AG86" s="34">
        <f t="shared" ref="AG86" si="949">R86</f>
        <v>21420</v>
      </c>
      <c r="AH86" s="34">
        <f t="shared" ref="AH86" si="950">AG86-Z86</f>
        <v>19278</v>
      </c>
      <c r="AI86" s="35">
        <f t="shared" ref="AI86" si="951">(Y86+X86+V86+(P86*12))/AH86</f>
        <v>0.66529139853286268</v>
      </c>
      <c r="AJ86" s="34">
        <f t="shared" ref="AJ86" si="952">AC86-(P86*12)-(AC86*0.1)</f>
        <v>5291.9124190834737</v>
      </c>
      <c r="AK86" s="34">
        <f t="shared" ref="AK86" si="953">AJ86-(AJ86*0.06)</f>
        <v>4974.3976739384652</v>
      </c>
      <c r="AL86" s="36">
        <f t="shared" ref="AL86" si="954">AK86/N86</f>
        <v>0.24871988369692327</v>
      </c>
      <c r="AM86" s="36">
        <f t="shared" ref="AM86" si="955">AC86/J86</f>
        <v>0.11606</v>
      </c>
      <c r="AN86" s="36">
        <f t="shared" ref="AN86" si="956">(R86-(P86*12)-V86-AA86)/N86</f>
        <v>0.32262562095417369</v>
      </c>
      <c r="AO86" s="37">
        <f t="shared" ref="AO86" si="957">AC86/(P86*12)</f>
        <v>2.2520671327466211</v>
      </c>
      <c r="AP86" s="38">
        <f t="shared" ref="AP86" si="958">(O86/H86)</f>
        <v>0.45274476513865308</v>
      </c>
      <c r="AQ86" s="38">
        <f t="shared" ref="AQ86" si="959">100%-AP86</f>
        <v>0.54725523486134686</v>
      </c>
      <c r="AR86" s="34">
        <f t="shared" ref="AR86" si="960">AQ86*H86</f>
        <v>96699.999999999985</v>
      </c>
      <c r="AS86" s="39" t="b">
        <f t="shared" ref="AS86" si="961">AND(AI86&lt;=0.85,AM86&gt;=0.08,AN86&gt;0.2,AO86&gt;1.3,AP86&lt;=0.8,AR86&gt;3000)</f>
        <v>1</v>
      </c>
      <c r="AT86" s="40">
        <v>40463</v>
      </c>
    </row>
    <row r="87" spans="1:46" s="4" customFormat="1" ht="15.75" customHeight="1">
      <c r="A87" s="3" t="s">
        <v>145</v>
      </c>
      <c r="B87" s="4" t="s">
        <v>93</v>
      </c>
      <c r="C87" s="4" t="s">
        <v>68</v>
      </c>
      <c r="D87" s="4">
        <v>29204</v>
      </c>
      <c r="E87" s="4">
        <v>277542</v>
      </c>
      <c r="F87" s="19">
        <v>35037</v>
      </c>
      <c r="G87" s="19">
        <v>258900</v>
      </c>
      <c r="H87" s="19">
        <v>353400</v>
      </c>
      <c r="I87" s="19">
        <f t="shared" ref="I87" si="962">G87*0.85</f>
        <v>220065</v>
      </c>
      <c r="J87" s="19">
        <v>200000</v>
      </c>
      <c r="K87" s="11">
        <f t="shared" ref="K87" ca="1" si="963">TODAY()-AT87</f>
        <v>591</v>
      </c>
      <c r="L87" s="4">
        <v>6</v>
      </c>
      <c r="M87" s="4">
        <v>6</v>
      </c>
      <c r="N87" s="19">
        <f t="shared" ref="N87" si="964">J87*0.2</f>
        <v>40000</v>
      </c>
      <c r="O87" s="19">
        <f t="shared" ref="O87" si="965">J87-N87</f>
        <v>160000</v>
      </c>
      <c r="P87" s="19">
        <f t="shared" ref="P87" si="966">PMT(5%/12,360,O87,0)*-1</f>
        <v>858.91459681942104</v>
      </c>
      <c r="Q87" s="19">
        <v>3570</v>
      </c>
      <c r="R87" s="19">
        <f t="shared" ref="R87" si="967">Q87*12</f>
        <v>42840</v>
      </c>
      <c r="S87" s="19"/>
      <c r="T87" s="19">
        <f t="shared" si="2"/>
        <v>840</v>
      </c>
      <c r="U87" s="19">
        <v>8980</v>
      </c>
      <c r="V87" s="19">
        <f t="shared" ref="V87" si="968">U87+T87</f>
        <v>9820</v>
      </c>
      <c r="W87" s="19">
        <v>237</v>
      </c>
      <c r="X87" s="19">
        <v>200</v>
      </c>
      <c r="Y87" s="19">
        <f t="shared" ref="Y87" si="969">R87*0.1</f>
        <v>4284</v>
      </c>
      <c r="Z87" s="19">
        <f t="shared" ref="Z87" si="970">R87*0.1</f>
        <v>4284</v>
      </c>
      <c r="AA87" s="19">
        <f t="shared" ref="AA87" si="971">Z87+Y87+X87</f>
        <v>8768</v>
      </c>
      <c r="AB87" s="19"/>
      <c r="AC87" s="19">
        <f t="shared" ref="AC87" si="972">R87-V87-AA87</f>
        <v>24252</v>
      </c>
      <c r="AD87" s="19"/>
      <c r="AE87" s="19">
        <f t="shared" ref="AE87" si="973">AC87-(P87*12)</f>
        <v>13945.024838166948</v>
      </c>
      <c r="AF87" s="19"/>
      <c r="AG87" s="34">
        <f t="shared" ref="AG87" si="974">R87</f>
        <v>42840</v>
      </c>
      <c r="AH87" s="34">
        <f t="shared" ref="AH87" si="975">AG87-Z87</f>
        <v>38556</v>
      </c>
      <c r="AI87" s="35">
        <f t="shared" ref="AI87" si="976">(Y87+X87+V87+(P87*12))/AH87</f>
        <v>0.63831764606891406</v>
      </c>
      <c r="AJ87" s="34">
        <f t="shared" ref="AJ87" si="977">AC87-(P87*12)-(AC87*0.1)</f>
        <v>11519.824838166947</v>
      </c>
      <c r="AK87" s="34">
        <f t="shared" ref="AK87" si="978">AJ87-(AJ87*0.06)</f>
        <v>10828.635347876931</v>
      </c>
      <c r="AL87" s="36">
        <f t="shared" ref="AL87" si="979">AK87/N87</f>
        <v>0.27071588369692329</v>
      </c>
      <c r="AM87" s="36">
        <f t="shared" ref="AM87" si="980">AC87/J87</f>
        <v>0.12126000000000001</v>
      </c>
      <c r="AN87" s="36">
        <f t="shared" ref="AN87" si="981">(R87-(P87*12)-V87-AA87)/N87</f>
        <v>0.34862562095417371</v>
      </c>
      <c r="AO87" s="37">
        <f t="shared" ref="AO87" si="982">AC87/(P87*12)</f>
        <v>2.3529696753132452</v>
      </c>
      <c r="AP87" s="38">
        <f t="shared" ref="AP87" si="983">(O87/H87)</f>
        <v>0.45274476513865308</v>
      </c>
      <c r="AQ87" s="38">
        <f t="shared" ref="AQ87" si="984">100%-AP87</f>
        <v>0.54725523486134686</v>
      </c>
      <c r="AR87" s="34">
        <f t="shared" ref="AR87" si="985">AQ87*H87</f>
        <v>193399.99999999997</v>
      </c>
      <c r="AS87" s="39" t="b">
        <f t="shared" ref="AS87" si="986">AND(AI87&lt;=0.85,AM87&gt;=0.08,AN87&gt;0.2,AO87&gt;1.3,AP87&lt;=0.8,AR87&gt;3000)</f>
        <v>1</v>
      </c>
      <c r="AT87" s="40">
        <v>40463</v>
      </c>
    </row>
  </sheetData>
  <conditionalFormatting sqref="AI4:AI87">
    <cfRule type="cellIs" dxfId="11" priority="23" operator="lessThanOrEqual">
      <formula>0.85</formula>
    </cfRule>
    <cfRule type="cellIs" dxfId="10" priority="24" operator="greaterThan">
      <formula>0.85</formula>
    </cfRule>
  </conditionalFormatting>
  <conditionalFormatting sqref="AM4:AM87">
    <cfRule type="cellIs" dxfId="9" priority="21" operator="greaterThanOrEqual">
      <formula>0.08</formula>
    </cfRule>
    <cfRule type="cellIs" dxfId="8" priority="22" operator="lessThan">
      <formula>0.08</formula>
    </cfRule>
  </conditionalFormatting>
  <conditionalFormatting sqref="AN4:AN87">
    <cfRule type="cellIs" dxfId="7" priority="19" operator="greaterThanOrEqual">
      <formula>0.2</formula>
    </cfRule>
    <cfRule type="cellIs" dxfId="6" priority="20" operator="lessThan">
      <formula>0.2</formula>
    </cfRule>
  </conditionalFormatting>
  <conditionalFormatting sqref="AO4:AO87">
    <cfRule type="cellIs" dxfId="5" priority="17" operator="lessThan">
      <formula>1.3</formula>
    </cfRule>
    <cfRule type="cellIs" dxfId="4" priority="18" operator="greaterThanOrEqual">
      <formula>1.3</formula>
    </cfRule>
  </conditionalFormatting>
  <conditionalFormatting sqref="AP4:AP87">
    <cfRule type="cellIs" dxfId="3" priority="15" operator="greaterThan">
      <formula>0.8</formula>
    </cfRule>
    <cfRule type="cellIs" dxfId="2" priority="16" operator="lessThanOrEqual">
      <formula>0.8</formula>
    </cfRule>
  </conditionalFormatting>
  <conditionalFormatting sqref="AR4:AR87">
    <cfRule type="cellIs" dxfId="1" priority="13" operator="lessThan">
      <formula>3000</formula>
    </cfRule>
    <cfRule type="cellIs" dxfId="0" priority="14" operator="greaterThanOrEqual">
      <formula>3000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T2"/>
  <sheetViews>
    <sheetView workbookViewId="0">
      <pane ySplit="2" topLeftCell="A3" activePane="bottomLeft" state="frozen"/>
      <selection pane="bottomLeft" activeCell="A5" sqref="A5"/>
    </sheetView>
  </sheetViews>
  <sheetFormatPr defaultRowHeight="15"/>
  <cols>
    <col min="1" max="1" width="21.7109375" style="10" bestFit="1" customWidth="1"/>
    <col min="2" max="2" width="9.140625" style="10"/>
    <col min="3" max="3" width="5.7109375" style="10" bestFit="1" customWidth="1"/>
    <col min="4" max="4" width="6.5703125" style="10" customWidth="1"/>
    <col min="5" max="5" width="8.7109375" style="10" customWidth="1"/>
    <col min="6" max="6" width="1.140625" style="10" customWidth="1"/>
    <col min="7" max="7" width="10.5703125" style="10" customWidth="1"/>
    <col min="8" max="8" width="8.5703125" style="10" customWidth="1"/>
    <col min="9" max="9" width="9.42578125" style="10" customWidth="1"/>
    <col min="10" max="10" width="10.5703125" style="10" customWidth="1"/>
    <col min="11" max="11" width="6.7109375" style="10" customWidth="1"/>
    <col min="12" max="12" width="5.7109375" style="10" customWidth="1"/>
    <col min="13" max="13" width="10.28515625" style="10" customWidth="1"/>
    <col min="14" max="14" width="8.85546875" style="10" customWidth="1"/>
    <col min="15" max="15" width="10.7109375" style="10" customWidth="1"/>
    <col min="16" max="16" width="12.7109375" style="10" customWidth="1"/>
    <col min="17" max="17" width="8.7109375" style="10" customWidth="1"/>
    <col min="18" max="18" width="11.140625" style="10" bestFit="1" customWidth="1"/>
    <col min="19" max="19" width="0.5703125" style="10" customWidth="1"/>
    <col min="20" max="20" width="10.85546875" style="10" customWidth="1"/>
    <col min="21" max="21" width="7.85546875" style="10" customWidth="1"/>
    <col min="22" max="22" width="11.42578125" style="10" customWidth="1"/>
    <col min="23" max="23" width="1" style="10" customWidth="1"/>
    <col min="24" max="24" width="12.85546875" style="10" customWidth="1"/>
    <col min="25" max="25" width="8.140625" style="10" customWidth="1"/>
    <col min="26" max="26" width="9.140625" style="10" customWidth="1"/>
    <col min="27" max="27" width="10" style="10" customWidth="1"/>
    <col min="28" max="28" width="1" style="10" customWidth="1"/>
    <col min="29" max="29" width="8" style="10" customWidth="1"/>
    <col min="30" max="30" width="0.85546875" style="10" customWidth="1"/>
    <col min="31" max="31" width="8.28515625" style="10" customWidth="1"/>
    <col min="32" max="32" width="0.85546875" style="10" customWidth="1"/>
    <col min="33" max="34" width="8.140625" style="10" customWidth="1"/>
    <col min="35" max="35" width="11" style="10" customWidth="1"/>
    <col min="36" max="36" width="8.42578125" style="10" customWidth="1"/>
    <col min="37" max="37" width="7.85546875" style="10" customWidth="1"/>
    <col min="38" max="38" width="8.28515625" style="10" customWidth="1"/>
    <col min="39" max="39" width="8.42578125" style="10" bestFit="1" customWidth="1"/>
    <col min="40" max="40" width="8.28515625" style="10" customWidth="1"/>
    <col min="41" max="41" width="7.7109375" style="10" customWidth="1"/>
    <col min="42" max="42" width="7.140625" style="10" customWidth="1"/>
    <col min="43" max="43" width="6.85546875" style="10" customWidth="1"/>
    <col min="44" max="44" width="7.7109375" style="10" customWidth="1"/>
    <col min="45" max="45" width="12.28515625" style="10" customWidth="1"/>
    <col min="46" max="46" width="10.28515625" style="10" customWidth="1"/>
    <col min="47" max="16384" width="9.140625" style="10"/>
  </cols>
  <sheetData>
    <row r="1" spans="1:46" ht="29.25" customHeight="1" thickBot="1">
      <c r="G1" s="43" t="s">
        <v>146</v>
      </c>
      <c r="H1" s="46" t="s">
        <v>148</v>
      </c>
      <c r="I1" s="45" t="s">
        <v>149</v>
      </c>
      <c r="J1" s="44" t="s">
        <v>147</v>
      </c>
      <c r="M1" s="20"/>
      <c r="N1" s="21"/>
      <c r="O1" s="31"/>
      <c r="P1" s="32"/>
      <c r="Q1" s="20"/>
      <c r="R1" s="22"/>
    </row>
    <row r="2" spans="1:46" s="30" customFormat="1" ht="45.75" customHeight="1" thickTop="1">
      <c r="A2" s="23" t="s">
        <v>0</v>
      </c>
      <c r="B2" s="24" t="s">
        <v>71</v>
      </c>
      <c r="C2" s="24" t="s">
        <v>70</v>
      </c>
      <c r="D2" s="24" t="s">
        <v>69</v>
      </c>
      <c r="E2" s="24" t="s">
        <v>75</v>
      </c>
      <c r="F2" s="24"/>
      <c r="G2" s="25" t="s">
        <v>1</v>
      </c>
      <c r="H2" s="25" t="s">
        <v>19</v>
      </c>
      <c r="I2" s="25" t="s">
        <v>72</v>
      </c>
      <c r="J2" s="25" t="s">
        <v>6</v>
      </c>
      <c r="K2" s="24" t="s">
        <v>74</v>
      </c>
      <c r="L2" s="24" t="s">
        <v>2</v>
      </c>
      <c r="M2" s="24" t="s">
        <v>3</v>
      </c>
      <c r="N2" s="25" t="s">
        <v>4</v>
      </c>
      <c r="O2" s="25" t="s">
        <v>7</v>
      </c>
      <c r="P2" s="25" t="s">
        <v>5</v>
      </c>
      <c r="Q2" s="26" t="s">
        <v>12</v>
      </c>
      <c r="R2" s="27" t="s">
        <v>13</v>
      </c>
      <c r="S2" s="27"/>
      <c r="T2" s="26" t="s">
        <v>8</v>
      </c>
      <c r="U2" s="26" t="s">
        <v>9</v>
      </c>
      <c r="V2" s="26" t="s">
        <v>15</v>
      </c>
      <c r="W2" s="26"/>
      <c r="X2" s="26" t="s">
        <v>10</v>
      </c>
      <c r="Y2" s="27" t="s">
        <v>11</v>
      </c>
      <c r="Z2" s="26" t="s">
        <v>14</v>
      </c>
      <c r="AA2" s="26" t="s">
        <v>16</v>
      </c>
      <c r="AB2" s="26"/>
      <c r="AC2" s="26" t="s">
        <v>17</v>
      </c>
      <c r="AD2" s="26"/>
      <c r="AE2" s="26" t="s">
        <v>18</v>
      </c>
      <c r="AF2" s="26"/>
      <c r="AG2" s="26" t="s">
        <v>23</v>
      </c>
      <c r="AH2" s="26" t="s">
        <v>24</v>
      </c>
      <c r="AI2" s="26" t="s">
        <v>25</v>
      </c>
      <c r="AJ2" s="26" t="s">
        <v>26</v>
      </c>
      <c r="AK2" s="26" t="s">
        <v>27</v>
      </c>
      <c r="AL2" s="26" t="s">
        <v>28</v>
      </c>
      <c r="AM2" s="28" t="s">
        <v>20</v>
      </c>
      <c r="AN2" s="28" t="s">
        <v>21</v>
      </c>
      <c r="AO2" s="26" t="s">
        <v>22</v>
      </c>
      <c r="AP2" s="26" t="s">
        <v>29</v>
      </c>
      <c r="AQ2" s="29" t="s">
        <v>31</v>
      </c>
      <c r="AR2" s="26" t="s">
        <v>30</v>
      </c>
      <c r="AS2" s="26" t="s">
        <v>73</v>
      </c>
      <c r="AT2" s="24" t="s">
        <v>88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CENTCOM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david.n.gordon</dc:creator>
  <cp:lastModifiedBy>david.n.gordon</cp:lastModifiedBy>
  <dcterms:created xsi:type="dcterms:W3CDTF">2012-03-22T07:21:05Z</dcterms:created>
  <dcterms:modified xsi:type="dcterms:W3CDTF">2012-05-25T13:08:53Z</dcterms:modified>
</cp:coreProperties>
</file>