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heet1" sheetId="1" r:id="rId1"/>
    <sheet name="Sheet2" sheetId="2" r:id="rId2"/>
    <sheet name="Sheet3" sheetId="3" r:id="rId3"/>
  </sheets>
  <calcPr calcId="124519" calcMode="autoNoTable" iterate="1" iterateCount="32600" iterateDelta="1"/>
</workbook>
</file>

<file path=xl/calcChain.xml><?xml version="1.0" encoding="utf-8"?>
<calcChain xmlns="http://schemas.openxmlformats.org/spreadsheetml/2006/main">
  <c r="A9" i="1"/>
  <c r="C2" l="1"/>
  <c r="H1"/>
  <c r="C35" i="2"/>
  <c r="B32"/>
  <c r="B33"/>
  <c r="B34"/>
  <c r="B35"/>
  <c r="B36"/>
  <c r="B37"/>
  <c r="B38"/>
  <c r="B39"/>
  <c r="B31"/>
  <c r="A7"/>
  <c r="A8" s="1"/>
  <c r="A9" s="1"/>
  <c r="A10" s="1"/>
  <c r="A11" s="1"/>
  <c r="A12" s="1"/>
  <c r="A13" s="1"/>
  <c r="A14" s="1"/>
  <c r="A15" s="1"/>
  <c r="C11" i="1" l="1"/>
  <c r="D11"/>
  <c r="E11"/>
  <c r="F11"/>
  <c r="B11"/>
  <c r="L11"/>
  <c r="I11"/>
  <c r="A11" l="1"/>
  <c r="E4" s="1"/>
  <c r="G11"/>
  <c r="H11"/>
  <c r="M11"/>
  <c r="O11" l="1"/>
  <c r="K11"/>
  <c r="E3" l="1"/>
  <c r="J11"/>
  <c r="P11" s="1"/>
  <c r="Q11" s="1"/>
  <c r="G3" s="1"/>
  <c r="G4" l="1"/>
  <c r="A12" l="1"/>
  <c r="C31" i="2"/>
  <c r="B12" i="1" l="1"/>
  <c r="C6" i="2" s="1"/>
  <c r="H12" i="1"/>
  <c r="F8" i="2" s="1"/>
  <c r="M12" i="1"/>
  <c r="F23" i="2" s="1"/>
  <c r="F12" i="1"/>
  <c r="C10" i="2" s="1"/>
  <c r="D12" i="1"/>
  <c r="C8" i="2" s="1"/>
  <c r="L12" i="1"/>
  <c r="F22" i="2" s="1"/>
  <c r="B9" i="1"/>
  <c r="C9"/>
  <c r="G9" s="1"/>
  <c r="J9" s="1"/>
  <c r="F9"/>
  <c r="L9"/>
  <c r="D9"/>
  <c r="E9"/>
  <c r="H9"/>
  <c r="I9"/>
  <c r="K9" s="1"/>
  <c r="M9"/>
  <c r="E12"/>
  <c r="C9" i="2" s="1"/>
  <c r="I12" i="1"/>
  <c r="K12" s="1"/>
  <c r="F21" i="2" s="1"/>
  <c r="C12" i="1"/>
  <c r="G12" s="1"/>
  <c r="J12" s="1"/>
  <c r="C37" i="2"/>
  <c r="C36"/>
  <c r="C38"/>
  <c r="C34"/>
  <c r="O12" i="1" l="1"/>
  <c r="C7" i="2"/>
  <c r="C16" s="1"/>
  <c r="P12" i="1"/>
  <c r="F7" i="2"/>
  <c r="O9" i="1"/>
  <c r="P9"/>
  <c r="C33" i="2"/>
  <c r="F20"/>
  <c r="F26" s="1"/>
  <c r="F6"/>
  <c r="Q12" i="1" l="1"/>
  <c r="J3" s="1"/>
  <c r="Q9"/>
  <c r="F16" i="2"/>
  <c r="F17" s="1"/>
  <c r="C39"/>
  <c r="C32"/>
  <c r="F27"/>
  <c r="J4" i="1" l="1"/>
  <c r="F28" i="2"/>
</calcChain>
</file>

<file path=xl/comments1.xml><?xml version="1.0" encoding="utf-8"?>
<comments xmlns="http://schemas.openxmlformats.org/spreadsheetml/2006/main">
  <authors>
    <author>Bala</author>
  </authors>
  <commentList>
    <comment ref="O3" authorId="0">
      <text>
        <r>
          <rPr>
            <b/>
            <sz val="9"/>
            <color indexed="81"/>
            <rFont val="Tahoma"/>
            <family val="2"/>
          </rPr>
          <t>List drop down</t>
        </r>
      </text>
    </comment>
    <comment ref="G8" authorId="0">
      <text>
        <r>
          <rPr>
            <sz val="9"/>
            <color indexed="81"/>
            <rFont val="Tahoma"/>
            <family val="2"/>
          </rPr>
          <t xml:space="preserve">EPF for salary below 15K 12% of (Gross minus HRA). For above 15K, if  already having PF,  Rs. 1800 fixed, else 0
</t>
        </r>
      </text>
    </comment>
    <comment ref="H8" authorId="0">
      <text>
        <r>
          <rPr>
            <b/>
            <sz val="9"/>
            <color indexed="81"/>
            <rFont val="Tahoma"/>
            <family val="2"/>
          </rPr>
          <t>ESI applicable only for salary less than 15K</t>
        </r>
        <r>
          <rPr>
            <sz val="9"/>
            <color indexed="81"/>
            <rFont val="Tahoma"/>
            <family val="2"/>
          </rPr>
          <t xml:space="preserve">
</t>
        </r>
      </text>
    </comment>
    <comment ref="J8" authorId="0">
      <text>
        <r>
          <rPr>
            <b/>
            <sz val="9"/>
            <color indexed="81"/>
            <rFont val="Tahoma"/>
            <family val="2"/>
          </rPr>
          <t>EPF for salary below 15K 12% of (Gross minus HRA). For above 15K, if  already having PF,  Rs. 1800 fixed, else 0</t>
        </r>
        <r>
          <rPr>
            <sz val="9"/>
            <color indexed="81"/>
            <rFont val="Tahoma"/>
            <family val="2"/>
          </rPr>
          <t xml:space="preserve">
</t>
        </r>
      </text>
    </comment>
    <comment ref="M8" authorId="0">
      <text>
        <r>
          <rPr>
            <b/>
            <sz val="9"/>
            <color indexed="81"/>
            <rFont val="Tahoma"/>
            <family val="2"/>
          </rPr>
          <t xml:space="preserve">ESI applicable only for salary less than 15K
</t>
        </r>
        <r>
          <rPr>
            <sz val="9"/>
            <color indexed="81"/>
            <rFont val="Tahoma"/>
            <family val="2"/>
          </rPr>
          <t xml:space="preserve">
</t>
        </r>
      </text>
    </comment>
    <comment ref="A9" authorId="0">
      <text>
        <r>
          <rPr>
            <b/>
            <sz val="9"/>
            <color indexed="81"/>
            <rFont val="Tahoma"/>
            <family val="2"/>
          </rPr>
          <t>Salary calculation on Gross salary input</t>
        </r>
        <r>
          <rPr>
            <sz val="9"/>
            <color indexed="81"/>
            <rFont val="Tahoma"/>
            <family val="2"/>
          </rPr>
          <t xml:space="preserve">
</t>
        </r>
      </text>
    </comment>
    <comment ref="Q9" authorId="0">
      <text>
        <r>
          <rPr>
            <b/>
            <sz val="9"/>
            <color indexed="81"/>
            <rFont val="Tahoma"/>
            <family val="2"/>
          </rPr>
          <t>THS calculated on input of Gross Salary</t>
        </r>
        <r>
          <rPr>
            <sz val="9"/>
            <color indexed="81"/>
            <rFont val="Tahoma"/>
            <family val="2"/>
          </rPr>
          <t xml:space="preserve">
</t>
        </r>
      </text>
    </comment>
    <comment ref="A10" authorId="0">
      <text>
        <r>
          <rPr>
            <b/>
            <sz val="9"/>
            <color indexed="81"/>
            <rFont val="Tahoma"/>
            <family val="2"/>
          </rPr>
          <t>Percentage for reverse calculation</t>
        </r>
        <r>
          <rPr>
            <sz val="9"/>
            <color indexed="81"/>
            <rFont val="Tahoma"/>
            <family val="2"/>
          </rPr>
          <t xml:space="preserve">
</t>
        </r>
      </text>
    </comment>
    <comment ref="A11" authorId="0">
      <text>
        <r>
          <rPr>
            <b/>
            <sz val="9"/>
            <color indexed="81"/>
            <rFont val="Tahoma"/>
            <family val="2"/>
          </rPr>
          <t>Reverse calculated Gross Salary on take-home salary input</t>
        </r>
      </text>
    </comment>
    <comment ref="Q11" authorId="0">
      <text>
        <r>
          <rPr>
            <b/>
            <sz val="9"/>
            <color indexed="81"/>
            <rFont val="Tahoma"/>
            <family val="2"/>
          </rPr>
          <t>Take-home salary result on reverse calculation of Take-home input</t>
        </r>
        <r>
          <rPr>
            <sz val="9"/>
            <color indexed="81"/>
            <rFont val="Tahoma"/>
            <family val="2"/>
          </rPr>
          <t xml:space="preserve">
</t>
        </r>
      </text>
    </comment>
    <comment ref="A12" authorId="0">
      <text>
        <r>
          <rPr>
            <b/>
            <sz val="9"/>
            <color indexed="81"/>
            <rFont val="Tahoma"/>
            <family val="2"/>
          </rPr>
          <t>Reverse calculated gross salary put for forward calculation of Take home salary</t>
        </r>
        <r>
          <rPr>
            <sz val="9"/>
            <color indexed="81"/>
            <rFont val="Tahoma"/>
            <family val="2"/>
          </rPr>
          <t xml:space="preserve">
</t>
        </r>
      </text>
    </comment>
    <comment ref="Q12" authorId="0">
      <text>
        <r>
          <rPr>
            <b/>
            <sz val="9"/>
            <color indexed="81"/>
            <rFont val="Tahoma"/>
            <family val="2"/>
          </rPr>
          <t>Take home salary on input of reverse calculated Gross salary.</t>
        </r>
        <r>
          <rPr>
            <sz val="9"/>
            <color indexed="81"/>
            <rFont val="Tahoma"/>
            <family val="2"/>
          </rPr>
          <t xml:space="preserve">
</t>
        </r>
      </text>
    </comment>
  </commentList>
</comments>
</file>

<file path=xl/sharedStrings.xml><?xml version="1.0" encoding="utf-8"?>
<sst xmlns="http://schemas.openxmlformats.org/spreadsheetml/2006/main" count="75" uniqueCount="59">
  <si>
    <t>Gross</t>
  </si>
  <si>
    <t>HRA 20%</t>
  </si>
  <si>
    <t>Club 100</t>
  </si>
  <si>
    <t>KSCEWWFB 20</t>
  </si>
  <si>
    <t>CCA 5%</t>
  </si>
  <si>
    <t>Vehicle Allowance 5%</t>
  </si>
  <si>
    <t>Conveyance 20%</t>
  </si>
  <si>
    <t>Direct Salary</t>
  </si>
  <si>
    <t>Indirect Salary</t>
  </si>
  <si>
    <t>Deductions</t>
  </si>
  <si>
    <t>ESI</t>
  </si>
  <si>
    <t>Basic (50% of Gross)</t>
  </si>
  <si>
    <t>ESI 1.75%</t>
  </si>
  <si>
    <t>KSCEWWFB</t>
  </si>
  <si>
    <t>No</t>
  </si>
  <si>
    <t>Yes</t>
  </si>
  <si>
    <t>Already having PF</t>
  </si>
  <si>
    <t>Is Grade Officer &amp; above?</t>
  </si>
  <si>
    <t>ESI 4.75%</t>
  </si>
  <si>
    <t>Gross/Take home</t>
  </si>
  <si>
    <t>Take Home</t>
  </si>
  <si>
    <t>THS</t>
  </si>
  <si>
    <t>Salary Selection</t>
  </si>
  <si>
    <t>Dir Sal</t>
  </si>
  <si>
    <t>Deducitons</t>
  </si>
  <si>
    <t>Sl. No.</t>
  </si>
  <si>
    <t>Direct Salary - Part A</t>
  </si>
  <si>
    <t>Indirect Salary - Part  B</t>
  </si>
  <si>
    <t>Particulars</t>
  </si>
  <si>
    <t>Amount    (Rs.)</t>
  </si>
  <si>
    <t>Basic</t>
  </si>
  <si>
    <t>Provident Fund</t>
  </si>
  <si>
    <t>HRA</t>
  </si>
  <si>
    <t>CCA</t>
  </si>
  <si>
    <t>Conveyance Allowance</t>
  </si>
  <si>
    <t>Loyality Allowance</t>
  </si>
  <si>
    <t>Special Allowance</t>
  </si>
  <si>
    <t>Vehicle Allowance</t>
  </si>
  <si>
    <t>Other Allowance</t>
  </si>
  <si>
    <t>Telephone Allowance</t>
  </si>
  <si>
    <t>Total - A</t>
  </si>
  <si>
    <t>Total – B</t>
  </si>
  <si>
    <t>NET SALARY (A + B)</t>
  </si>
  <si>
    <t>Deductions from Salary - Part C</t>
  </si>
  <si>
    <t xml:space="preserve">Club </t>
  </si>
  <si>
    <t>Total Deductions – C</t>
  </si>
  <si>
    <t>Cost to Company</t>
  </si>
  <si>
    <t>NET TAKE HOME SALARY (A - C)</t>
  </si>
  <si>
    <t>Having ESI?</t>
  </si>
  <si>
    <t>Computation Details on Cost to Company</t>
  </si>
  <si>
    <t>Salary Calculation</t>
  </si>
  <si>
    <t>My request</t>
  </si>
  <si>
    <t>PF 12%</t>
  </si>
  <si>
    <t xml:space="preserve">Selecting take home salary (THS) input with Rs. 12500 gives a backward gross salary calculation of Rs. 14300, which if calculated forward with gross salary option, we get a THS of Rs. 12556 </t>
  </si>
  <si>
    <t>Thus when we want to offer salary by THS,  the resultant gross salary does not match the entered THS.</t>
  </si>
  <si>
    <t>In this case, to bring the entered TSH at par with the calculation, the gross salary has to be reduced. So, the gross enterd as Rs. 14236 only makes the THS of 12500.</t>
  </si>
  <si>
    <t>Can the reverse calculation be modified so that both the results of THS is the same? I guess the reverse percentage calculation is incorrect.</t>
  </si>
  <si>
    <t>Or is there a loop calculation in which the calculated gross salary is checked and automatically be decreased or increased to match the entered THS and display the correct gross salary for the desired THS?</t>
  </si>
  <si>
    <t>The THS calculated from Gross Salary is the correct figure and is what we need.</t>
  </si>
</sst>
</file>

<file path=xl/styles.xml><?xml version="1.0" encoding="utf-8"?>
<styleSheet xmlns="http://schemas.openxmlformats.org/spreadsheetml/2006/main">
  <numFmts count="5">
    <numFmt numFmtId="164" formatCode="&quot;Rs.&quot;\ #,##0.00"/>
    <numFmt numFmtId="165" formatCode="#,##0.0000000000"/>
    <numFmt numFmtId="166" formatCode="0.000%"/>
    <numFmt numFmtId="167" formatCode="0.0000%"/>
    <numFmt numFmtId="168" formatCode="[$Rs.-4009]\ #,##0.00"/>
  </numFmts>
  <fonts count="12">
    <font>
      <sz val="11"/>
      <color theme="1"/>
      <name val="Calibri"/>
      <family val="2"/>
      <scheme val="minor"/>
    </font>
    <font>
      <b/>
      <sz val="11"/>
      <color theme="1"/>
      <name val="Calibri"/>
      <family val="2"/>
      <scheme val="minor"/>
    </font>
    <font>
      <sz val="9"/>
      <color indexed="81"/>
      <name val="Tahoma"/>
      <family val="2"/>
    </font>
    <font>
      <sz val="11"/>
      <name val="Calibri"/>
      <family val="2"/>
      <scheme val="minor"/>
    </font>
    <font>
      <b/>
      <sz val="11"/>
      <name val="Calibri"/>
      <family val="2"/>
      <scheme val="minor"/>
    </font>
    <font>
      <b/>
      <sz val="11"/>
      <name val="Oranda Cn BT"/>
      <family val="1"/>
    </font>
    <font>
      <sz val="11"/>
      <name val="Oranda Cn BT"/>
      <family val="1"/>
    </font>
    <font>
      <b/>
      <sz val="11"/>
      <name val="Oranda Cn BT"/>
    </font>
    <font>
      <b/>
      <sz val="14"/>
      <color theme="1"/>
      <name val="Calibri"/>
      <family val="2"/>
      <scheme val="minor"/>
    </font>
    <font>
      <b/>
      <u/>
      <sz val="11"/>
      <color theme="1"/>
      <name val="Calibri"/>
      <family val="2"/>
      <scheme val="minor"/>
    </font>
    <font>
      <b/>
      <sz val="9"/>
      <color indexed="81"/>
      <name val="Tahoma"/>
      <family val="2"/>
    </font>
    <font>
      <b/>
      <sz val="11"/>
      <color rgb="FFFF0000"/>
      <name val="Calibri"/>
      <family val="2"/>
      <scheme val="minor"/>
    </font>
  </fonts>
  <fills count="11">
    <fill>
      <patternFill patternType="none"/>
    </fill>
    <fill>
      <patternFill patternType="gray125"/>
    </fill>
    <fill>
      <patternFill patternType="solid">
        <fgColor theme="0" tint="-0.34998626667073579"/>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00B050"/>
        <bgColor indexed="64"/>
      </patternFill>
    </fill>
    <fill>
      <patternFill patternType="solid">
        <fgColor theme="5" tint="0.39997558519241921"/>
        <bgColor indexed="64"/>
      </patternFill>
    </fill>
    <fill>
      <patternFill patternType="solid">
        <fgColor theme="2"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4">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64" fontId="0" fillId="0" borderId="0" xfId="0" applyNumberFormat="1"/>
    <xf numFmtId="164" fontId="0" fillId="0" borderId="1" xfId="0" applyNumberFormat="1" applyBorder="1" applyAlignment="1">
      <alignment horizontal="right"/>
    </xf>
    <xf numFmtId="0" fontId="1" fillId="0" borderId="0" xfId="0" applyFont="1" applyBorder="1"/>
    <xf numFmtId="164" fontId="0" fillId="0" borderId="0" xfId="0" applyNumberFormat="1" applyBorder="1"/>
    <xf numFmtId="0" fontId="0" fillId="0" borderId="0" xfId="0" applyBorder="1"/>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9" fontId="0" fillId="0" borderId="0" xfId="0" applyNumberFormat="1"/>
    <xf numFmtId="10" fontId="0" fillId="0" borderId="0" xfId="0" applyNumberFormat="1"/>
    <xf numFmtId="0" fontId="1" fillId="0" borderId="5" xfId="0" applyFont="1" applyBorder="1" applyAlignment="1">
      <alignment horizontal="center" vertical="center"/>
    </xf>
    <xf numFmtId="0" fontId="0" fillId="0" borderId="0" xfId="0" applyFill="1" applyBorder="1"/>
    <xf numFmtId="165" fontId="0" fillId="0" borderId="0" xfId="0" applyNumberFormat="1"/>
    <xf numFmtId="167" fontId="0" fillId="0" borderId="0" xfId="0" applyNumberFormat="1"/>
    <xf numFmtId="2" fontId="0" fillId="0" borderId="0" xfId="0" applyNumberFormat="1"/>
    <xf numFmtId="168" fontId="0" fillId="0" borderId="0" xfId="0" applyNumberForma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2" xfId="0" applyBorder="1"/>
    <xf numFmtId="0" fontId="0" fillId="0" borderId="3" xfId="0" applyBorder="1"/>
    <xf numFmtId="0" fontId="1" fillId="0" borderId="1" xfId="0" applyFont="1" applyBorder="1" applyAlignment="1">
      <alignment horizontal="center"/>
    </xf>
    <xf numFmtId="0" fontId="0" fillId="0" borderId="0" xfId="0" applyFill="1" applyAlignment="1">
      <alignment horizontal="center"/>
    </xf>
    <xf numFmtId="0" fontId="0" fillId="0" borderId="0" xfId="0" applyBorder="1" applyAlignment="1">
      <alignment horizontal="center"/>
    </xf>
    <xf numFmtId="0" fontId="1" fillId="0" borderId="1" xfId="0" applyFont="1" applyFill="1" applyBorder="1" applyAlignment="1">
      <alignment horizontal="center" vertical="center"/>
    </xf>
    <xf numFmtId="0" fontId="4" fillId="0" borderId="1" xfId="0" applyFont="1" applyBorder="1" applyAlignment="1">
      <alignment horizontal="center"/>
    </xf>
    <xf numFmtId="0" fontId="3" fillId="0" borderId="0" xfId="0" applyFont="1" applyBorder="1"/>
    <xf numFmtId="164" fontId="0" fillId="0" borderId="1" xfId="0" applyNumberFormat="1" applyFill="1" applyBorder="1"/>
    <xf numFmtId="0" fontId="5" fillId="0" borderId="1" xfId="0" applyFont="1" applyBorder="1" applyAlignment="1">
      <alignment horizontal="center" vertical="center"/>
    </xf>
    <xf numFmtId="0" fontId="5" fillId="0" borderId="1" xfId="0" applyFont="1" applyBorder="1" applyAlignment="1">
      <alignment horizontal="center" wrapText="1"/>
    </xf>
    <xf numFmtId="0" fontId="5" fillId="0" borderId="8" xfId="0" applyFont="1" applyBorder="1" applyAlignment="1">
      <alignment horizontal="center" vertical="center" wrapText="1"/>
    </xf>
    <xf numFmtId="0" fontId="5" fillId="0" borderId="9" xfId="0" applyFont="1" applyBorder="1" applyAlignment="1">
      <alignment horizontal="center" wrapText="1"/>
    </xf>
    <xf numFmtId="0" fontId="6" fillId="0" borderId="12" xfId="0" applyFont="1" applyBorder="1" applyAlignment="1">
      <alignment horizontal="center"/>
    </xf>
    <xf numFmtId="0" fontId="6" fillId="0" borderId="13" xfId="0" applyFont="1" applyBorder="1" applyAlignment="1">
      <alignment horizontal="center"/>
    </xf>
    <xf numFmtId="0" fontId="6" fillId="0" borderId="1" xfId="0" applyFont="1" applyBorder="1" applyAlignment="1">
      <alignment horizontal="center"/>
    </xf>
    <xf numFmtId="0" fontId="0" fillId="0" borderId="1" xfId="0" applyBorder="1"/>
    <xf numFmtId="164" fontId="6" fillId="0" borderId="1" xfId="0" applyNumberFormat="1" applyFont="1" applyBorder="1" applyAlignment="1">
      <alignment horizontal="right"/>
    </xf>
    <xf numFmtId="0" fontId="7" fillId="0" borderId="1" xfId="0" applyFont="1" applyBorder="1" applyAlignment="1">
      <alignment horizontal="right" vertical="center" wrapText="1"/>
    </xf>
    <xf numFmtId="0" fontId="7" fillId="0" borderId="1" xfId="0" applyFont="1" applyBorder="1" applyAlignment="1">
      <alignment horizontal="right" wrapText="1"/>
    </xf>
    <xf numFmtId="0" fontId="6" fillId="0" borderId="14" xfId="0" applyFont="1" applyBorder="1" applyAlignment="1">
      <alignment horizontal="right"/>
    </xf>
    <xf numFmtId="164" fontId="7" fillId="0" borderId="1" xfId="0" applyNumberFormat="1" applyFont="1" applyBorder="1" applyAlignment="1">
      <alignment horizontal="right"/>
    </xf>
    <xf numFmtId="0" fontId="6" fillId="0" borderId="1" xfId="0" applyFont="1" applyBorder="1" applyAlignment="1">
      <alignment horizontal="left" vertical="center" wrapText="1"/>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applyAlignment="1">
      <alignment horizontal="center" vertical="center" wrapText="1"/>
    </xf>
    <xf numFmtId="0" fontId="0" fillId="0" borderId="1" xfId="0" applyBorder="1" applyAlignment="1">
      <alignment horizontal="center"/>
    </xf>
    <xf numFmtId="164" fontId="6" fillId="0" borderId="9" xfId="0" applyNumberFormat="1" applyFont="1" applyBorder="1" applyAlignment="1">
      <alignment horizontal="right"/>
    </xf>
    <xf numFmtId="164" fontId="7" fillId="0" borderId="4" xfId="0" applyNumberFormat="1" applyFont="1" applyBorder="1" applyAlignment="1">
      <alignment horizontal="right"/>
    </xf>
    <xf numFmtId="164" fontId="7" fillId="0" borderId="24" xfId="0" applyNumberFormat="1" applyFont="1" applyBorder="1" applyAlignment="1">
      <alignment horizontal="right"/>
    </xf>
    <xf numFmtId="164" fontId="6" fillId="0" borderId="1" xfId="0" applyNumberFormat="1" applyFont="1" applyBorder="1" applyAlignment="1">
      <alignment horizontal="right" wrapText="1"/>
    </xf>
    <xf numFmtId="0" fontId="6" fillId="0" borderId="1" xfId="0" applyFont="1" applyBorder="1" applyAlignment="1">
      <alignment horizontal="center" wrapText="1"/>
    </xf>
    <xf numFmtId="0" fontId="6" fillId="0" borderId="1" xfId="0" applyFont="1" applyBorder="1" applyAlignment="1">
      <alignment horizontal="center" vertical="top" wrapText="1"/>
    </xf>
    <xf numFmtId="0" fontId="6" fillId="0" borderId="1" xfId="0" applyFont="1" applyBorder="1" applyAlignment="1">
      <alignment horizontal="left" vertical="top"/>
    </xf>
    <xf numFmtId="0" fontId="6" fillId="0" borderId="1" xfId="0" applyFont="1" applyBorder="1" applyAlignment="1">
      <alignment horizontal="left" wrapText="1"/>
    </xf>
    <xf numFmtId="164" fontId="0" fillId="0" borderId="1" xfId="0" applyNumberFormat="1" applyBorder="1"/>
    <xf numFmtId="164" fontId="1" fillId="0" borderId="1" xfId="0" applyNumberFormat="1" applyFont="1" applyBorder="1"/>
    <xf numFmtId="0" fontId="0" fillId="0" borderId="25" xfId="0" applyBorder="1" applyAlignment="1">
      <alignment horizontal="center"/>
    </xf>
    <xf numFmtId="0" fontId="1" fillId="3" borderId="7" xfId="0" applyFont="1" applyFill="1" applyBorder="1" applyAlignment="1">
      <alignment wrapText="1"/>
    </xf>
    <xf numFmtId="0" fontId="0" fillId="3" borderId="11" xfId="0" applyFill="1" applyBorder="1" applyAlignment="1">
      <alignment horizontal="center"/>
    </xf>
    <xf numFmtId="0" fontId="0" fillId="0" borderId="11" xfId="0" applyBorder="1" applyAlignment="1">
      <alignment horizontal="center"/>
    </xf>
    <xf numFmtId="0" fontId="0" fillId="4" borderId="1" xfId="0" applyFont="1" applyFill="1" applyBorder="1"/>
    <xf numFmtId="0" fontId="3" fillId="4" borderId="1" xfId="0" applyFont="1" applyFill="1" applyBorder="1"/>
    <xf numFmtId="0" fontId="4" fillId="4" borderId="1" xfId="0" applyFont="1" applyFill="1" applyBorder="1"/>
    <xf numFmtId="164" fontId="3" fillId="4" borderId="1" xfId="0" applyNumberFormat="1" applyFont="1" applyFill="1" applyBorder="1"/>
    <xf numFmtId="0" fontId="3" fillId="5" borderId="1" xfId="0" applyFont="1" applyFill="1" applyBorder="1"/>
    <xf numFmtId="0" fontId="1" fillId="6" borderId="0" xfId="0" applyFont="1" applyFill="1" applyBorder="1" applyAlignment="1">
      <alignment horizontal="center" vertical="center"/>
    </xf>
    <xf numFmtId="164" fontId="0" fillId="6" borderId="0" xfId="0" applyNumberFormat="1" applyFill="1" applyAlignment="1">
      <alignment horizontal="center"/>
    </xf>
    <xf numFmtId="168" fontId="0" fillId="6" borderId="0" xfId="0" applyNumberFormat="1" applyFill="1"/>
    <xf numFmtId="164" fontId="3" fillId="6" borderId="11" xfId="0" applyNumberFormat="1" applyFont="1" applyFill="1" applyBorder="1"/>
    <xf numFmtId="0" fontId="3" fillId="6" borderId="11" xfId="0" applyFont="1" applyFill="1" applyBorder="1"/>
    <xf numFmtId="164" fontId="3" fillId="6" borderId="0" xfId="0" applyNumberFormat="1" applyFont="1" applyFill="1" applyBorder="1"/>
    <xf numFmtId="0" fontId="3" fillId="6" borderId="0" xfId="0" applyFont="1" applyFill="1" applyBorder="1"/>
    <xf numFmtId="0" fontId="0" fillId="6" borderId="0" xfId="0" applyFill="1"/>
    <xf numFmtId="0" fontId="3" fillId="6" borderId="0" xfId="0" applyFont="1" applyFill="1"/>
    <xf numFmtId="0" fontId="0" fillId="7" borderId="0" xfId="0" applyFill="1" applyBorder="1"/>
    <xf numFmtId="166" fontId="0" fillId="7" borderId="0" xfId="0" applyNumberFormat="1" applyFill="1" applyBorder="1"/>
    <xf numFmtId="10" fontId="0" fillId="7" borderId="0" xfId="0" applyNumberFormat="1" applyFill="1" applyBorder="1"/>
    <xf numFmtId="167" fontId="0" fillId="7" borderId="0" xfId="0" applyNumberFormat="1" applyFill="1" applyBorder="1"/>
    <xf numFmtId="164" fontId="0" fillId="7" borderId="0" xfId="0" applyNumberFormat="1" applyFill="1" applyBorder="1"/>
    <xf numFmtId="164" fontId="3" fillId="7" borderId="0" xfId="0" applyNumberFormat="1" applyFont="1" applyFill="1" applyBorder="1" applyAlignment="1">
      <alignment horizontal="center"/>
    </xf>
    <xf numFmtId="164" fontId="3" fillId="7" borderId="0" xfId="0" applyNumberFormat="1" applyFont="1" applyFill="1" applyBorder="1"/>
    <xf numFmtId="167" fontId="3" fillId="7" borderId="0" xfId="0" applyNumberFormat="1" applyFont="1" applyFill="1" applyBorder="1" applyAlignment="1">
      <alignment horizontal="center"/>
    </xf>
    <xf numFmtId="164" fontId="3" fillId="0" borderId="1" xfId="0" applyNumberFormat="1" applyFont="1" applyBorder="1"/>
    <xf numFmtId="164" fontId="0" fillId="0" borderId="1" xfId="0" applyNumberFormat="1" applyBorder="1" applyAlignment="1">
      <alignment horizontal="center" vertical="center"/>
    </xf>
    <xf numFmtId="164" fontId="0" fillId="0" borderId="1" xfId="0" applyNumberFormat="1" applyBorder="1" applyAlignment="1">
      <alignment horizontal="center"/>
    </xf>
    <xf numFmtId="164" fontId="3" fillId="0" borderId="1" xfId="0" applyNumberFormat="1" applyFont="1" applyBorder="1" applyAlignment="1">
      <alignment horizontal="center"/>
    </xf>
    <xf numFmtId="164" fontId="0" fillId="0" borderId="0" xfId="0" applyNumberFormat="1" applyBorder="1" applyAlignment="1">
      <alignment horizontal="right"/>
    </xf>
    <xf numFmtId="164" fontId="1" fillId="0" borderId="0" xfId="0" applyNumberFormat="1" applyFont="1" applyBorder="1" applyAlignment="1">
      <alignment horizontal="right"/>
    </xf>
    <xf numFmtId="164" fontId="0" fillId="0" borderId="1" xfId="0" applyNumberFormat="1" applyBorder="1" applyAlignment="1">
      <alignment horizontal="right" vertical="center"/>
    </xf>
    <xf numFmtId="164" fontId="3" fillId="0" borderId="1" xfId="0" applyNumberFormat="1" applyFont="1" applyBorder="1" applyAlignment="1">
      <alignment horizontal="right"/>
    </xf>
    <xf numFmtId="0" fontId="1" fillId="0" borderId="0" xfId="0" applyFont="1" applyBorder="1" applyAlignment="1">
      <alignment horizontal="left"/>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 fillId="2" borderId="0" xfId="0" applyFont="1" applyFill="1" applyAlignment="1">
      <alignment horizontal="center"/>
    </xf>
    <xf numFmtId="164" fontId="1" fillId="0" borderId="0" xfId="0" applyNumberFormat="1" applyFont="1" applyBorder="1" applyAlignment="1">
      <alignment horizontal="left"/>
    </xf>
    <xf numFmtId="0" fontId="1" fillId="2" borderId="8" xfId="0" applyFont="1" applyFill="1" applyBorder="1" applyAlignment="1">
      <alignment horizontal="center" vertical="center"/>
    </xf>
    <xf numFmtId="0" fontId="1" fillId="0" borderId="0" xfId="0" applyFont="1" applyBorder="1" applyAlignment="1">
      <alignment horizontal="center" vertical="center"/>
    </xf>
    <xf numFmtId="164" fontId="0" fillId="0" borderId="0" xfId="0" applyNumberFormat="1" applyAlignment="1">
      <alignment horizontal="center"/>
    </xf>
    <xf numFmtId="0" fontId="4" fillId="10" borderId="3" xfId="0" applyFont="1" applyFill="1" applyBorder="1" applyAlignment="1">
      <alignment horizontal="center"/>
    </xf>
    <xf numFmtId="0" fontId="4" fillId="10" borderId="4" xfId="0" applyFont="1" applyFill="1" applyBorder="1" applyAlignment="1">
      <alignment horizontal="center"/>
    </xf>
    <xf numFmtId="0" fontId="1" fillId="9" borderId="3" xfId="0" applyFont="1" applyFill="1" applyBorder="1" applyAlignment="1">
      <alignment horizontal="center"/>
    </xf>
    <xf numFmtId="0" fontId="1" fillId="8" borderId="3" xfId="0" applyFont="1" applyFill="1" applyBorder="1" applyAlignment="1">
      <alignment horizontal="center"/>
    </xf>
    <xf numFmtId="0" fontId="1" fillId="8" borderId="11" xfId="0" applyFont="1" applyFill="1" applyBorder="1" applyAlignment="1">
      <alignment horizontal="center"/>
    </xf>
    <xf numFmtId="0" fontId="9" fillId="0" borderId="0" xfId="0" applyFont="1" applyBorder="1" applyAlignment="1">
      <alignment horizontal="center"/>
    </xf>
    <xf numFmtId="0" fontId="8" fillId="0" borderId="22" xfId="0" applyFont="1" applyBorder="1" applyAlignment="1">
      <alignment horizontal="right"/>
    </xf>
    <xf numFmtId="0" fontId="8" fillId="0" borderId="23" xfId="0" applyFont="1" applyBorder="1" applyAlignment="1">
      <alignment horizontal="right"/>
    </xf>
    <xf numFmtId="0" fontId="6" fillId="0" borderId="8" xfId="0" applyFont="1" applyBorder="1" applyAlignment="1">
      <alignment horizontal="left" vertical="center" wrapText="1"/>
    </xf>
    <xf numFmtId="0" fontId="6" fillId="0" borderId="15" xfId="0" applyFont="1" applyBorder="1" applyAlignment="1">
      <alignment horizontal="left" vertical="center" wrapText="1"/>
    </xf>
    <xf numFmtId="0" fontId="6" fillId="0" borderId="10" xfId="0" applyFont="1" applyBorder="1" applyAlignment="1">
      <alignment horizontal="left" vertical="center" wrapText="1"/>
    </xf>
    <xf numFmtId="0" fontId="6" fillId="0" borderId="8" xfId="0" applyFont="1" applyBorder="1" applyAlignment="1">
      <alignment horizontal="left"/>
    </xf>
    <xf numFmtId="0" fontId="6" fillId="0" borderId="15" xfId="0" applyFont="1" applyBorder="1" applyAlignment="1">
      <alignment horizontal="left"/>
    </xf>
    <xf numFmtId="0" fontId="6" fillId="0" borderId="10" xfId="0" applyFont="1" applyBorder="1" applyAlignment="1">
      <alignment horizontal="left"/>
    </xf>
    <xf numFmtId="0" fontId="0" fillId="0" borderId="8"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6" fillId="0" borderId="8" xfId="0" applyFont="1" applyBorder="1" applyAlignment="1">
      <alignment horizontal="center"/>
    </xf>
    <xf numFmtId="0" fontId="6" fillId="0" borderId="15" xfId="0" applyFont="1" applyBorder="1" applyAlignment="1">
      <alignment horizontal="center"/>
    </xf>
    <xf numFmtId="0" fontId="6" fillId="0" borderId="10" xfId="0" applyFont="1" applyBorder="1" applyAlignment="1">
      <alignment horizontal="center"/>
    </xf>
    <xf numFmtId="0" fontId="7" fillId="0" borderId="19" xfId="0" applyFont="1" applyBorder="1" applyAlignment="1">
      <alignment horizontal="right"/>
    </xf>
    <xf numFmtId="0" fontId="7" fillId="0" borderId="20" xfId="0" applyFont="1" applyBorder="1" applyAlignment="1">
      <alignment horizontal="right"/>
    </xf>
    <xf numFmtId="0" fontId="7" fillId="0" borderId="21" xfId="0" applyFont="1" applyBorder="1" applyAlignment="1">
      <alignment horizontal="right"/>
    </xf>
    <xf numFmtId="0" fontId="7" fillId="0" borderId="8" xfId="0" applyFont="1" applyBorder="1" applyAlignment="1">
      <alignment horizontal="center"/>
    </xf>
    <xf numFmtId="0" fontId="7" fillId="0" borderId="15" xfId="0" applyFont="1" applyBorder="1" applyAlignment="1">
      <alignment horizontal="center"/>
    </xf>
    <xf numFmtId="0" fontId="7" fillId="0" borderId="10" xfId="0" applyFont="1" applyBorder="1" applyAlignment="1">
      <alignment horizontal="center"/>
    </xf>
    <xf numFmtId="0" fontId="7" fillId="0" borderId="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1" xfId="0" applyFont="1" applyBorder="1" applyAlignment="1">
      <alignment horizontal="left"/>
    </xf>
    <xf numFmtId="0" fontId="6" fillId="0" borderId="17" xfId="0" applyFont="1" applyBorder="1" applyAlignment="1">
      <alignment horizontal="right"/>
    </xf>
    <xf numFmtId="0" fontId="6" fillId="0" borderId="16" xfId="0" applyFont="1" applyBorder="1" applyAlignment="1">
      <alignment horizontal="right"/>
    </xf>
    <xf numFmtId="0" fontId="6" fillId="0" borderId="18" xfId="0" applyFont="1" applyBorder="1" applyAlignment="1">
      <alignment horizontal="right"/>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xf>
    <xf numFmtId="0" fontId="5" fillId="0" borderId="10" xfId="0" applyFont="1" applyBorder="1" applyAlignment="1">
      <alignment horizontal="center"/>
    </xf>
    <xf numFmtId="0" fontId="6" fillId="0" borderId="8" xfId="0" applyFont="1" applyBorder="1" applyAlignment="1">
      <alignment horizontal="right"/>
    </xf>
    <xf numFmtId="0" fontId="6" fillId="0" borderId="10" xfId="0" applyFont="1" applyBorder="1" applyAlignment="1">
      <alignment horizontal="right"/>
    </xf>
    <xf numFmtId="0" fontId="6" fillId="0" borderId="15" xfId="0" applyFont="1" applyBorder="1" applyAlignment="1">
      <alignment horizontal="right"/>
    </xf>
    <xf numFmtId="0" fontId="11" fillId="0" borderId="1" xfId="0" applyFont="1" applyBorder="1"/>
  </cellXfs>
  <cellStyles count="1">
    <cellStyle name="Normal" xfId="0" builtinId="0"/>
  </cellStyles>
  <dxfs count="7">
    <dxf>
      <fill>
        <patternFill>
          <bgColor rgb="FF92D050"/>
        </patternFill>
      </fill>
    </dxf>
    <dxf>
      <fill>
        <patternFill>
          <bgColor rgb="FF00B050"/>
        </patternFill>
      </fill>
    </dxf>
    <dxf>
      <fill>
        <patternFill>
          <bgColor rgb="FFF4740A"/>
        </patternFill>
      </fill>
    </dxf>
    <dxf>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dxf>
  </dxfs>
  <tableStyles count="0" defaultTableStyle="TableStyleMedium9" defaultPivotStyle="PivotStyleLight16"/>
  <colors>
    <mruColors>
      <color rgb="FFF4740A"/>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36"/>
  <sheetViews>
    <sheetView tabSelected="1" topLeftCell="A7" workbookViewId="0">
      <selection activeCell="A18" sqref="A18"/>
    </sheetView>
  </sheetViews>
  <sheetFormatPr defaultRowHeight="15"/>
  <cols>
    <col min="1" max="1" width="16.42578125" customWidth="1"/>
    <col min="2" max="2" width="12.140625" customWidth="1"/>
    <col min="3" max="4" width="12.140625" bestFit="1" customWidth="1"/>
    <col min="5" max="5" width="20.42578125" customWidth="1"/>
    <col min="6" max="7" width="12.140625" bestFit="1" customWidth="1"/>
    <col min="8" max="8" width="11.140625" bestFit="1" customWidth="1"/>
    <col min="9" max="9" width="16.140625" bestFit="1" customWidth="1"/>
    <col min="10" max="10" width="12.28515625" customWidth="1"/>
    <col min="12" max="12" width="13.85546875" bestFit="1" customWidth="1"/>
    <col min="13" max="13" width="11.140625" bestFit="1" customWidth="1"/>
    <col min="14" max="14" width="7.28515625" customWidth="1"/>
    <col min="15" max="15" width="12.140625" bestFit="1" customWidth="1"/>
    <col min="16" max="16" width="12.85546875" bestFit="1" customWidth="1"/>
    <col min="17" max="17" width="12.140625" bestFit="1" customWidth="1"/>
    <col min="18" max="18" width="11.140625" bestFit="1" customWidth="1"/>
    <col min="20" max="20" width="10.140625" bestFit="1" customWidth="1"/>
  </cols>
  <sheetData>
    <row r="1" spans="1:20" ht="15.75" thickBot="1">
      <c r="A1" s="95" t="s">
        <v>50</v>
      </c>
      <c r="B1" s="96"/>
      <c r="C1" s="97"/>
      <c r="H1">
        <f>IF(B3="Take Home",IF(D3&gt;=$D2,D3,D3+1),0)</f>
        <v>0</v>
      </c>
    </row>
    <row r="2" spans="1:20">
      <c r="A2" s="98" t="s">
        <v>22</v>
      </c>
      <c r="B2" s="98"/>
      <c r="C2" s="27" t="str">
        <f>IF(B3="Gross","Enter Gross",IF(B3="Take Home","Enter TH",""))</f>
        <v>Enter TH</v>
      </c>
    </row>
    <row r="3" spans="1:20">
      <c r="A3" s="100" t="s">
        <v>19</v>
      </c>
      <c r="B3" s="101" t="s">
        <v>20</v>
      </c>
      <c r="C3" s="102">
        <v>12500</v>
      </c>
      <c r="D3" s="26"/>
      <c r="E3" s="64" t="str">
        <f>IF(A11&lt;=0, "", "Calculated Gross")</f>
        <v>Calculated Gross</v>
      </c>
      <c r="F3" s="65"/>
      <c r="G3" s="65" t="str">
        <f>IF(Q11&lt;=0, "", "Reverse Calculated Take Home")</f>
        <v>Reverse Calculated Take Home</v>
      </c>
      <c r="H3" s="65"/>
      <c r="J3" s="66" t="str">
        <f>IF(Q12&lt;=0,"",IF(B3="Gross","","Recalculated Take Home"))</f>
        <v>Recalculated Take Home</v>
      </c>
      <c r="O3" s="68" t="s">
        <v>0</v>
      </c>
      <c r="P3" s="68" t="s">
        <v>15</v>
      </c>
    </row>
    <row r="4" spans="1:20">
      <c r="A4" s="100"/>
      <c r="B4" s="101"/>
      <c r="C4" s="102"/>
      <c r="D4" s="17"/>
      <c r="E4" s="67">
        <f>IF(A11&lt;=0, "", A11)</f>
        <v>14300</v>
      </c>
      <c r="F4" s="65"/>
      <c r="G4" s="67">
        <f>IF(Q11&lt;=0, "", Q11)</f>
        <v>12525.6278375</v>
      </c>
      <c r="H4" s="65"/>
      <c r="J4" s="67">
        <f>IF(B3="Gross","",IF(Q12&lt;=0,"",Q12))</f>
        <v>12556.95</v>
      </c>
      <c r="L4" s="18"/>
      <c r="M4" s="18"/>
      <c r="O4" s="68" t="s">
        <v>20</v>
      </c>
      <c r="P4" s="68" t="s">
        <v>14</v>
      </c>
    </row>
    <row r="5" spans="1:20" ht="6.75" customHeight="1" thickBot="1">
      <c r="A5" s="69"/>
      <c r="B5" s="69"/>
      <c r="C5" s="70"/>
      <c r="D5" s="71"/>
      <c r="E5" s="72"/>
      <c r="F5" s="73"/>
      <c r="G5" s="74"/>
      <c r="H5" s="75"/>
      <c r="I5" s="74"/>
      <c r="J5" s="76"/>
      <c r="K5" s="76"/>
      <c r="L5" s="77"/>
      <c r="M5" s="77"/>
      <c r="O5" s="18"/>
      <c r="P5" s="18"/>
    </row>
    <row r="6" spans="1:20" ht="30.75" thickBot="1">
      <c r="A6" s="61" t="s">
        <v>17</v>
      </c>
      <c r="B6" s="60" t="s">
        <v>14</v>
      </c>
      <c r="C6" s="61" t="s">
        <v>16</v>
      </c>
      <c r="D6" s="60" t="s">
        <v>14</v>
      </c>
      <c r="E6" s="62" t="s">
        <v>48</v>
      </c>
      <c r="F6" s="63" t="s">
        <v>14</v>
      </c>
      <c r="L6" s="18"/>
      <c r="M6" s="18"/>
      <c r="N6" s="18"/>
      <c r="O6" s="18"/>
      <c r="P6" s="18"/>
      <c r="Q6" s="18"/>
      <c r="R6" s="18"/>
      <c r="S6" s="18"/>
      <c r="T6" s="18"/>
    </row>
    <row r="7" spans="1:20">
      <c r="A7" s="23"/>
      <c r="B7" s="24"/>
      <c r="C7" s="106" t="s">
        <v>7</v>
      </c>
      <c r="D7" s="106"/>
      <c r="E7" s="107"/>
      <c r="F7" s="107"/>
      <c r="G7" s="105" t="s">
        <v>8</v>
      </c>
      <c r="H7" s="105"/>
      <c r="I7" s="105"/>
      <c r="J7" s="103" t="s">
        <v>9</v>
      </c>
      <c r="K7" s="103"/>
      <c r="L7" s="103"/>
      <c r="M7" s="104"/>
      <c r="N7" s="18"/>
      <c r="O7" s="18"/>
      <c r="P7" s="18"/>
      <c r="Q7" s="18"/>
      <c r="R7" s="18"/>
      <c r="S7" s="18"/>
      <c r="T7" s="18"/>
    </row>
    <row r="8" spans="1:20" ht="45">
      <c r="A8" s="12" t="s">
        <v>0</v>
      </c>
      <c r="B8" s="2" t="s">
        <v>11</v>
      </c>
      <c r="C8" s="1" t="s">
        <v>1</v>
      </c>
      <c r="D8" s="1" t="s">
        <v>4</v>
      </c>
      <c r="E8" s="2" t="s">
        <v>6</v>
      </c>
      <c r="F8" s="2" t="s">
        <v>5</v>
      </c>
      <c r="G8" s="1" t="s">
        <v>52</v>
      </c>
      <c r="H8" s="28" t="s">
        <v>18</v>
      </c>
      <c r="I8" s="2" t="s">
        <v>3</v>
      </c>
      <c r="J8" s="22" t="s">
        <v>52</v>
      </c>
      <c r="K8" s="19" t="s">
        <v>3</v>
      </c>
      <c r="L8" s="20" t="s">
        <v>2</v>
      </c>
      <c r="M8" s="21" t="s">
        <v>12</v>
      </c>
      <c r="N8" s="18"/>
      <c r="O8" s="25" t="s">
        <v>23</v>
      </c>
      <c r="P8" s="29" t="s">
        <v>24</v>
      </c>
      <c r="Q8" s="29" t="s">
        <v>21</v>
      </c>
      <c r="R8" s="18"/>
      <c r="S8" s="18"/>
      <c r="T8" s="18"/>
    </row>
    <row r="9" spans="1:20">
      <c r="A9" s="31">
        <f>IF(B3="Take Home", 0, IF(B3="Gross",C3,0))</f>
        <v>0</v>
      </c>
      <c r="B9" s="58">
        <f>A9*50%</f>
        <v>0</v>
      </c>
      <c r="C9" s="58">
        <f>A9*20%</f>
        <v>0</v>
      </c>
      <c r="D9" s="58">
        <f>A9*5%</f>
        <v>0</v>
      </c>
      <c r="E9" s="58">
        <f>A9*20%</f>
        <v>0</v>
      </c>
      <c r="F9" s="58">
        <f>A9*5%</f>
        <v>0</v>
      </c>
      <c r="G9" s="87">
        <f>IF(AND($D$6="NO",A9&gt;=15000),0, IF($D$6="YES",1800,(A9-C9)*12% ))</f>
        <v>0</v>
      </c>
      <c r="H9" s="88">
        <f>IF(A9&gt;=15000, 0, A9*4.75%)</f>
        <v>0</v>
      </c>
      <c r="I9" s="58">
        <f>IF(A9=0, 0, 20)</f>
        <v>0</v>
      </c>
      <c r="J9" s="89">
        <f>G9</f>
        <v>0</v>
      </c>
      <c r="K9" s="89">
        <f>I9</f>
        <v>0</v>
      </c>
      <c r="L9" s="86">
        <f>IF(A9=0,0,100)</f>
        <v>0</v>
      </c>
      <c r="M9" s="89">
        <f>IF(A9&gt;=15000, 0, A9*1.75%)</f>
        <v>0</v>
      </c>
      <c r="N9" s="18"/>
      <c r="O9" s="58">
        <f>SUM(B9:F9)</f>
        <v>0</v>
      </c>
      <c r="P9" s="86">
        <f>SUM(J9:M9)</f>
        <v>0</v>
      </c>
      <c r="Q9" s="86">
        <f>O9-P9</f>
        <v>0</v>
      </c>
      <c r="R9" s="18"/>
      <c r="S9" s="18"/>
      <c r="T9" s="18"/>
    </row>
    <row r="10" spans="1:20">
      <c r="A10" s="78"/>
      <c r="B10" s="79">
        <v>0.57045000000000001</v>
      </c>
      <c r="C10" s="80">
        <v>0.2283</v>
      </c>
      <c r="D10" s="79">
        <v>5.7079999999999999E-2</v>
      </c>
      <c r="E10" s="80">
        <v>0.2283</v>
      </c>
      <c r="F10" s="80">
        <v>5.7079999999999999E-2</v>
      </c>
      <c r="G10" s="81">
        <v>0.109594</v>
      </c>
      <c r="H10" s="80">
        <v>5.4199999999999998E-2</v>
      </c>
      <c r="I10" s="82"/>
      <c r="J10" s="83"/>
      <c r="K10" s="83"/>
      <c r="L10" s="84"/>
      <c r="M10" s="85">
        <v>1.9965772999999999E-2</v>
      </c>
      <c r="N10" s="18"/>
      <c r="O10" s="7"/>
      <c r="P10" s="7"/>
      <c r="Q10" s="30"/>
      <c r="R10" s="18"/>
      <c r="S10" s="18"/>
      <c r="T10" s="18"/>
    </row>
    <row r="11" spans="1:20">
      <c r="A11" s="31">
        <f>IF(C3&lt;&gt;"",MROUND(B11+C11+D11+E11+F11,100),0)</f>
        <v>14300</v>
      </c>
      <c r="B11" s="58">
        <f>IF($B$3="Take Home",ROUND($C$3*B10,100),0)</f>
        <v>7130.625</v>
      </c>
      <c r="C11" s="58">
        <f t="shared" ref="C11:F11" si="0">IF($B$3="Take Home",ROUND($C$3*C10,100),0)</f>
        <v>2853.75</v>
      </c>
      <c r="D11" s="58">
        <f t="shared" si="0"/>
        <v>713.5</v>
      </c>
      <c r="E11" s="58">
        <f t="shared" si="0"/>
        <v>2853.75</v>
      </c>
      <c r="F11" s="58">
        <f t="shared" si="0"/>
        <v>713.5</v>
      </c>
      <c r="G11" s="58">
        <f>IF($B$11+$C$11+$D$11+$E$11+$F$11&gt;=15000,0,IF($D$6="YES",1800,IF($B$3="Take Home",$C$3*G10,0)))</f>
        <v>1369.925</v>
      </c>
      <c r="H11" s="58">
        <f>IF($B$11+$C$11+$D$11+$E$11+$F$11&gt;=15000,0,IF($B$3="Take Home",$C$3*H10,0))</f>
        <v>677.5</v>
      </c>
      <c r="I11" s="58">
        <f>IF( $B$3="Take Home", 20, 0)</f>
        <v>20</v>
      </c>
      <c r="J11" s="89">
        <f>G11</f>
        <v>1369.925</v>
      </c>
      <c r="K11" s="89">
        <f>I11</f>
        <v>20</v>
      </c>
      <c r="L11" s="86">
        <f>IF($B$3="Take Home",100,0)</f>
        <v>100</v>
      </c>
      <c r="M11" s="86">
        <f>IF($B$11+$C$11+$D$11+$E$11+$F$11&gt;=15000,0,IF($B$3="Take Home",$C$3*M10,0))</f>
        <v>249.57216249999999</v>
      </c>
      <c r="N11" s="18"/>
      <c r="O11" s="86">
        <f>SUM(B11:F11)</f>
        <v>14265.125</v>
      </c>
      <c r="P11" s="86">
        <f>SUM(J11:M11)</f>
        <v>1739.4971624999998</v>
      </c>
      <c r="Q11" s="86">
        <f>O11-P11</f>
        <v>12525.6278375</v>
      </c>
      <c r="S11" s="18"/>
    </row>
    <row r="12" spans="1:20">
      <c r="A12" s="31">
        <f>IF(B3="Gross", 0, IF(AND(B3="Take Home",C3&lt;&gt;G4),E4,IF(OR(C3&gt;=15000,B3="Gross"),C3,0)))</f>
        <v>14300</v>
      </c>
      <c r="B12" s="58">
        <f>A12*50%</f>
        <v>7150</v>
      </c>
      <c r="C12" s="58">
        <f>A12*20%</f>
        <v>2860</v>
      </c>
      <c r="D12" s="58">
        <f>A12*5%</f>
        <v>715</v>
      </c>
      <c r="E12" s="58">
        <f>A12*20%</f>
        <v>2860</v>
      </c>
      <c r="F12" s="58">
        <f>A12*5%</f>
        <v>715</v>
      </c>
      <c r="G12" s="92">
        <f>IF(AND($D$6="NO",A12&gt;=15000),0, IF($D$6="YES",1800,(A12-C12)*12% ))</f>
        <v>1372.8</v>
      </c>
      <c r="H12" s="4">
        <f>IF(AND($F$6="NO",A12&gt;=15000),0,IF($F$6="YES",A12*4.75%, A12*4.75%))</f>
        <v>679.25</v>
      </c>
      <c r="I12" s="58">
        <f>IF(A12=0, 0, 20)</f>
        <v>20</v>
      </c>
      <c r="J12" s="89">
        <f>G12</f>
        <v>1372.8</v>
      </c>
      <c r="K12" s="89">
        <f>I12</f>
        <v>20</v>
      </c>
      <c r="L12" s="86">
        <f>IF(A12=0,0,100)</f>
        <v>100</v>
      </c>
      <c r="M12" s="93">
        <f>IF(AND($F$6="NO",A12&gt;=15000),0, IF($F$6="YES",A12*1.75%,A12*1.75%))</f>
        <v>250.25000000000003</v>
      </c>
      <c r="N12" s="18"/>
      <c r="O12" s="58">
        <f>SUM(B12:F12)</f>
        <v>14300</v>
      </c>
      <c r="P12" s="86">
        <f>SUM(J12:M12)</f>
        <v>1743.05</v>
      </c>
      <c r="Q12" s="86">
        <f>O12-P12</f>
        <v>12556.95</v>
      </c>
      <c r="S12" s="18"/>
    </row>
    <row r="13" spans="1:20">
      <c r="A13" s="5"/>
      <c r="B13" s="6"/>
      <c r="C13" s="3"/>
      <c r="J13" s="18"/>
      <c r="K13" s="18"/>
      <c r="L13" s="18"/>
      <c r="M13" s="18"/>
      <c r="N13" s="18"/>
      <c r="O13" s="18"/>
      <c r="P13" s="18"/>
      <c r="Q13" s="18"/>
      <c r="R13" s="18"/>
      <c r="S13" s="18"/>
      <c r="T13" s="18"/>
    </row>
    <row r="14" spans="1:20">
      <c r="A14" s="99" t="s">
        <v>53</v>
      </c>
      <c r="B14" s="99"/>
      <c r="C14" s="99"/>
      <c r="D14" s="99"/>
      <c r="E14" s="99"/>
      <c r="F14" s="99"/>
      <c r="G14" s="99"/>
      <c r="H14" s="99"/>
      <c r="I14" s="99"/>
      <c r="J14" s="99"/>
      <c r="K14" s="99"/>
      <c r="L14" s="99"/>
      <c r="M14" s="99"/>
      <c r="Q14" s="18"/>
      <c r="R14" s="18"/>
      <c r="S14" s="18"/>
      <c r="T14" s="18"/>
    </row>
    <row r="15" spans="1:20">
      <c r="A15" s="94" t="s">
        <v>54</v>
      </c>
      <c r="B15" s="94"/>
      <c r="C15" s="94"/>
      <c r="D15" s="94"/>
      <c r="E15" s="94"/>
      <c r="F15" s="94"/>
      <c r="G15" s="94"/>
      <c r="H15" s="94"/>
      <c r="I15" s="94"/>
      <c r="J15" s="94"/>
      <c r="K15" s="94"/>
      <c r="L15" s="94"/>
      <c r="M15" s="94"/>
      <c r="N15" s="18"/>
      <c r="O15" s="18"/>
      <c r="P15" s="18"/>
      <c r="Q15" s="18"/>
      <c r="R15" s="18"/>
      <c r="S15" s="18"/>
      <c r="T15" s="18"/>
    </row>
    <row r="16" spans="1:20">
      <c r="A16" s="94" t="s">
        <v>55</v>
      </c>
      <c r="B16" s="94"/>
      <c r="C16" s="94"/>
      <c r="D16" s="94"/>
      <c r="E16" s="94"/>
      <c r="F16" s="94"/>
      <c r="G16" s="94"/>
      <c r="H16" s="94"/>
      <c r="I16" s="94"/>
      <c r="J16" s="94"/>
      <c r="K16" s="94"/>
      <c r="L16" s="94"/>
      <c r="M16" s="94"/>
      <c r="N16" s="18"/>
      <c r="O16" s="18"/>
      <c r="P16" s="18"/>
      <c r="Q16" s="18"/>
      <c r="R16" s="18"/>
      <c r="S16" s="18"/>
      <c r="T16" s="18"/>
    </row>
    <row r="17" spans="1:20">
      <c r="A17" t="s">
        <v>58</v>
      </c>
      <c r="N17" s="18"/>
      <c r="O17" s="18"/>
      <c r="P17" s="18"/>
      <c r="Q17" s="18"/>
      <c r="R17" s="18"/>
      <c r="S17" s="18"/>
      <c r="T17" s="18"/>
    </row>
    <row r="18" spans="1:20">
      <c r="N18" s="18"/>
      <c r="O18" s="18"/>
      <c r="P18" s="18"/>
      <c r="Q18" s="18"/>
      <c r="R18" s="18"/>
      <c r="S18" s="18"/>
      <c r="T18" s="18"/>
    </row>
    <row r="19" spans="1:20">
      <c r="A19" s="143" t="s">
        <v>51</v>
      </c>
      <c r="N19" s="18"/>
      <c r="O19" s="18"/>
      <c r="P19" s="18"/>
      <c r="Q19" s="18"/>
      <c r="R19" s="18"/>
      <c r="S19" s="18"/>
      <c r="T19" s="18"/>
    </row>
    <row r="20" spans="1:20">
      <c r="A20" s="94" t="s">
        <v>56</v>
      </c>
      <c r="B20" s="94"/>
      <c r="C20" s="94"/>
      <c r="D20" s="94"/>
      <c r="E20" s="94"/>
      <c r="F20" s="94"/>
      <c r="G20" s="94"/>
      <c r="H20" s="94"/>
      <c r="I20" s="94"/>
      <c r="J20" s="94"/>
      <c r="K20" s="94"/>
      <c r="L20" s="94"/>
      <c r="M20" s="94"/>
      <c r="N20" s="18"/>
      <c r="O20" s="18"/>
      <c r="P20" s="18"/>
      <c r="Q20" s="18"/>
      <c r="R20" s="18"/>
      <c r="S20" s="18"/>
      <c r="T20" s="18"/>
    </row>
    <row r="21" spans="1:20">
      <c r="A21" s="94" t="s">
        <v>57</v>
      </c>
      <c r="B21" s="94"/>
      <c r="C21" s="94"/>
      <c r="D21" s="94"/>
      <c r="E21" s="94"/>
      <c r="F21" s="94"/>
      <c r="G21" s="94"/>
      <c r="H21" s="94"/>
      <c r="I21" s="94"/>
      <c r="J21" s="94"/>
      <c r="K21" s="94"/>
      <c r="L21" s="94"/>
      <c r="M21" s="94"/>
      <c r="N21" s="94"/>
      <c r="O21" s="18"/>
      <c r="P21" s="18"/>
      <c r="Q21" s="18"/>
      <c r="R21" s="18"/>
      <c r="S21" s="18"/>
      <c r="T21" s="18"/>
    </row>
    <row r="22" spans="1:20">
      <c r="A22" s="5"/>
      <c r="B22" s="90"/>
      <c r="C22" s="6"/>
      <c r="D22" s="5"/>
      <c r="E22" s="90"/>
      <c r="J22" s="18"/>
      <c r="K22" s="18"/>
      <c r="L22" s="18"/>
      <c r="M22" s="18"/>
      <c r="N22" s="18"/>
      <c r="O22" s="18"/>
      <c r="P22" s="18"/>
      <c r="Q22" s="18"/>
      <c r="R22" s="18"/>
      <c r="S22" s="18"/>
      <c r="T22" s="18"/>
    </row>
    <row r="23" spans="1:20">
      <c r="A23" s="5"/>
      <c r="B23" s="90"/>
      <c r="C23" s="7"/>
      <c r="D23" s="5"/>
      <c r="E23" s="90"/>
      <c r="J23" s="18"/>
      <c r="K23" s="18"/>
      <c r="L23" s="18"/>
      <c r="M23" s="18"/>
      <c r="N23" s="18"/>
      <c r="O23" s="18"/>
      <c r="P23" s="18"/>
      <c r="Q23" s="18"/>
      <c r="R23" s="18"/>
      <c r="S23" s="18"/>
      <c r="T23" s="18"/>
    </row>
    <row r="24" spans="1:20">
      <c r="A24" s="5"/>
      <c r="B24" s="91"/>
      <c r="C24" s="7"/>
      <c r="D24" s="5"/>
      <c r="E24" s="91"/>
      <c r="J24" s="18"/>
      <c r="K24" s="18"/>
      <c r="L24" s="18"/>
      <c r="M24" s="18"/>
      <c r="N24" s="18"/>
      <c r="O24" s="18"/>
      <c r="P24" s="18"/>
      <c r="Q24" s="18"/>
      <c r="R24" s="18"/>
      <c r="S24" s="18"/>
      <c r="T24" s="18"/>
    </row>
    <row r="25" spans="1:20">
      <c r="J25" s="18"/>
      <c r="K25" s="18"/>
      <c r="L25" s="18"/>
      <c r="M25" s="18"/>
      <c r="N25" s="18"/>
      <c r="O25" s="18"/>
      <c r="P25" s="18"/>
      <c r="Q25" s="18"/>
      <c r="R25" s="18"/>
      <c r="S25" s="18"/>
      <c r="T25" s="18"/>
    </row>
    <row r="26" spans="1:20">
      <c r="K26" s="18"/>
      <c r="L26" s="18"/>
      <c r="M26" s="18"/>
      <c r="N26" s="18"/>
      <c r="O26" s="18"/>
      <c r="P26" s="18"/>
    </row>
    <row r="27" spans="1:20">
      <c r="B27" s="10"/>
      <c r="C27" s="10"/>
      <c r="D27" s="10"/>
      <c r="E27" s="10"/>
      <c r="F27" s="10"/>
      <c r="G27" s="10"/>
      <c r="H27" s="11"/>
      <c r="J27" s="10"/>
      <c r="K27" s="18"/>
      <c r="L27" s="18"/>
      <c r="M27" s="18"/>
      <c r="N27" s="18"/>
      <c r="O27" s="18"/>
      <c r="P27" s="18"/>
    </row>
    <row r="28" spans="1:20">
      <c r="M28" s="18"/>
      <c r="N28" s="18"/>
      <c r="O28" s="18"/>
      <c r="P28" s="18"/>
    </row>
    <row r="29" spans="1:20">
      <c r="A29" s="7"/>
      <c r="B29" s="8"/>
      <c r="C29" s="8"/>
      <c r="D29" s="8"/>
      <c r="E29" s="8"/>
      <c r="F29" s="8"/>
      <c r="G29" s="8"/>
      <c r="H29" s="8"/>
      <c r="I29" s="8"/>
      <c r="J29" s="8"/>
      <c r="K29" s="8"/>
      <c r="L29" s="8"/>
      <c r="M29" s="18"/>
      <c r="N29" s="18"/>
      <c r="O29" s="18"/>
      <c r="P29" s="18"/>
    </row>
    <row r="30" spans="1:20">
      <c r="A30" s="9"/>
      <c r="B30" s="7"/>
      <c r="C30" s="7"/>
      <c r="D30" s="7"/>
      <c r="E30" s="7"/>
      <c r="F30" s="7"/>
      <c r="G30" s="7"/>
      <c r="H30" s="7"/>
      <c r="I30" s="7"/>
      <c r="J30" s="7"/>
      <c r="K30" s="7"/>
      <c r="L30" s="7"/>
      <c r="M30" s="18"/>
      <c r="N30" s="18"/>
      <c r="O30" s="18"/>
      <c r="P30" s="18"/>
    </row>
    <row r="31" spans="1:20">
      <c r="A31" s="9"/>
      <c r="M31" s="18"/>
      <c r="N31" s="18"/>
      <c r="O31" s="18"/>
      <c r="P31" s="18"/>
    </row>
    <row r="32" spans="1:20">
      <c r="A32" s="13"/>
      <c r="B32" s="11"/>
      <c r="C32" s="11"/>
      <c r="D32" s="11"/>
      <c r="E32" s="11"/>
      <c r="F32" s="11"/>
      <c r="G32" s="11"/>
      <c r="H32" s="11"/>
      <c r="J32" s="11"/>
      <c r="M32" s="11"/>
    </row>
    <row r="34" spans="2:14">
      <c r="B34" s="11"/>
      <c r="C34" s="11"/>
      <c r="D34" s="11"/>
      <c r="E34" s="11"/>
      <c r="F34" s="11"/>
      <c r="N34" s="14"/>
    </row>
    <row r="35" spans="2:14">
      <c r="G35" s="15"/>
      <c r="H35" s="11"/>
      <c r="N35" s="14"/>
    </row>
    <row r="36" spans="2:14">
      <c r="B36" s="11"/>
      <c r="C36" s="11"/>
      <c r="D36" s="11"/>
      <c r="E36" s="11"/>
      <c r="F36" s="11"/>
      <c r="G36" s="16"/>
      <c r="H36" s="16"/>
    </row>
  </sheetData>
  <mergeCells count="13">
    <mergeCell ref="A20:M20"/>
    <mergeCell ref="A1:C1"/>
    <mergeCell ref="A2:B2"/>
    <mergeCell ref="A15:M15"/>
    <mergeCell ref="A16:M16"/>
    <mergeCell ref="A14:M14"/>
    <mergeCell ref="A3:A4"/>
    <mergeCell ref="B3:B4"/>
    <mergeCell ref="C3:C4"/>
    <mergeCell ref="J7:M7"/>
    <mergeCell ref="G7:I7"/>
    <mergeCell ref="C7:F7"/>
    <mergeCell ref="A21:N21"/>
  </mergeCells>
  <conditionalFormatting sqref="D3">
    <cfRule type="expression" dxfId="6" priority="18">
      <formula>$D$3&lt;&gt;""</formula>
    </cfRule>
  </conditionalFormatting>
  <conditionalFormatting sqref="C2">
    <cfRule type="expression" dxfId="5" priority="17">
      <formula>$C$2&lt;&gt;""</formula>
    </cfRule>
  </conditionalFormatting>
  <conditionalFormatting sqref="B3:B4">
    <cfRule type="expression" dxfId="4" priority="13">
      <formula>$B$3&lt;&gt;""</formula>
    </cfRule>
  </conditionalFormatting>
  <conditionalFormatting sqref="C5">
    <cfRule type="expression" dxfId="3" priority="11">
      <formula>$B$3&lt;&gt;""</formula>
    </cfRule>
  </conditionalFormatting>
  <conditionalFormatting sqref="F6 D6 B6">
    <cfRule type="cellIs" dxfId="2" priority="7" operator="equal">
      <formula>"No"</formula>
    </cfRule>
    <cfRule type="cellIs" dxfId="1" priority="8" operator="equal">
      <formula>"Yes"</formula>
    </cfRule>
  </conditionalFormatting>
  <conditionalFormatting sqref="C3:C4">
    <cfRule type="expression" dxfId="0" priority="1">
      <formula>$B$3&lt;&gt;""</formula>
    </cfRule>
  </conditionalFormatting>
  <dataValidations count="4">
    <dataValidation type="whole" operator="equal" allowBlank="1" showErrorMessage="1" error="Enter in the Gross Salary cell" sqref="D4:D5">
      <formula1>B7="Gross"</formula1>
    </dataValidation>
    <dataValidation type="list" errorStyle="information" showInputMessage="1" showErrorMessage="1" errorTitle="Blank!" error="Pleas select  choice" sqref="B3">
      <formula1>$O$3:$O$4</formula1>
    </dataValidation>
    <dataValidation type="list" showInputMessage="1" showErrorMessage="1" sqref="D6">
      <formula1>$P$3:$P$4</formula1>
    </dataValidation>
    <dataValidation type="list" allowBlank="1" showInputMessage="1" showErrorMessage="1" sqref="F6 B6">
      <formula1>$P$3:$P$4</formula1>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dimension ref="A4:F39"/>
  <sheetViews>
    <sheetView workbookViewId="0">
      <selection activeCell="A18" sqref="A18:F18"/>
    </sheetView>
  </sheetViews>
  <sheetFormatPr defaultRowHeight="15"/>
  <cols>
    <col min="1" max="1" width="7.7109375" customWidth="1"/>
    <col min="2" max="2" width="28.42578125" customWidth="1"/>
    <col min="3" max="3" width="12.42578125" bestFit="1" customWidth="1"/>
    <col min="4" max="4" width="6.85546875" customWidth="1"/>
    <col min="5" max="5" width="22.7109375" customWidth="1"/>
    <col min="6" max="6" width="14.140625" bestFit="1" customWidth="1"/>
  </cols>
  <sheetData>
    <row r="4" spans="1:6">
      <c r="A4" s="136" t="s">
        <v>25</v>
      </c>
      <c r="B4" s="138" t="s">
        <v>26</v>
      </c>
      <c r="C4" s="139"/>
      <c r="D4" s="136" t="s">
        <v>25</v>
      </c>
      <c r="E4" s="138" t="s">
        <v>27</v>
      </c>
      <c r="F4" s="139"/>
    </row>
    <row r="5" spans="1:6" ht="29.25">
      <c r="A5" s="137"/>
      <c r="B5" s="32" t="s">
        <v>28</v>
      </c>
      <c r="C5" s="33" t="s">
        <v>29</v>
      </c>
      <c r="D5" s="137"/>
      <c r="E5" s="34" t="s">
        <v>28</v>
      </c>
      <c r="F5" s="35" t="s">
        <v>29</v>
      </c>
    </row>
    <row r="6" spans="1:6">
      <c r="A6" s="36">
        <v>1</v>
      </c>
      <c r="B6" s="57" t="s">
        <v>30</v>
      </c>
      <c r="C6" s="53">
        <f>Sheet1!B12</f>
        <v>7150</v>
      </c>
      <c r="D6" s="38">
        <v>1</v>
      </c>
      <c r="E6" s="45" t="s">
        <v>31</v>
      </c>
      <c r="F6" s="40">
        <f>Sheet1!G12</f>
        <v>1372.8</v>
      </c>
    </row>
    <row r="7" spans="1:6">
      <c r="A7" s="37">
        <f>+A6+1</f>
        <v>2</v>
      </c>
      <c r="B7" s="57" t="s">
        <v>32</v>
      </c>
      <c r="C7" s="53">
        <f>Sheet1!C12</f>
        <v>2860</v>
      </c>
      <c r="D7" s="38">
        <v>2</v>
      </c>
      <c r="E7" s="46" t="s">
        <v>13</v>
      </c>
      <c r="F7" s="40">
        <f>Sheet1!I12</f>
        <v>20</v>
      </c>
    </row>
    <row r="8" spans="1:6">
      <c r="A8" s="37">
        <f t="shared" ref="A8:A15" si="0">+A7+1</f>
        <v>3</v>
      </c>
      <c r="B8" s="57" t="s">
        <v>33</v>
      </c>
      <c r="C8" s="53">
        <f>Sheet1!D12</f>
        <v>715</v>
      </c>
      <c r="D8" s="54">
        <v>3</v>
      </c>
      <c r="E8" s="46" t="s">
        <v>10</v>
      </c>
      <c r="F8" s="40">
        <f>Sheet1!H12</f>
        <v>679.25</v>
      </c>
    </row>
    <row r="9" spans="1:6">
      <c r="A9" s="37">
        <f t="shared" si="0"/>
        <v>4</v>
      </c>
      <c r="B9" s="57" t="s">
        <v>34</v>
      </c>
      <c r="C9" s="53">
        <f>Sheet1!E12</f>
        <v>2860</v>
      </c>
      <c r="D9" s="54"/>
      <c r="E9" s="47"/>
      <c r="F9" s="40"/>
    </row>
    <row r="10" spans="1:6">
      <c r="A10" s="37">
        <f t="shared" si="0"/>
        <v>5</v>
      </c>
      <c r="B10" s="57" t="s">
        <v>37</v>
      </c>
      <c r="C10" s="53">
        <f>Sheet1!F12</f>
        <v>715</v>
      </c>
      <c r="D10" s="55"/>
      <c r="E10" s="46"/>
      <c r="F10" s="40"/>
    </row>
    <row r="11" spans="1:6">
      <c r="A11" s="37">
        <f t="shared" si="0"/>
        <v>6</v>
      </c>
      <c r="B11" s="57" t="s">
        <v>35</v>
      </c>
      <c r="C11" s="53"/>
      <c r="D11" s="55"/>
      <c r="E11" s="46"/>
      <c r="F11" s="40"/>
    </row>
    <row r="12" spans="1:6">
      <c r="A12" s="37">
        <f t="shared" si="0"/>
        <v>7</v>
      </c>
      <c r="B12" s="57" t="s">
        <v>36</v>
      </c>
      <c r="C12" s="53"/>
      <c r="D12" s="55"/>
      <c r="E12" s="46"/>
      <c r="F12" s="40"/>
    </row>
    <row r="13" spans="1:6">
      <c r="A13" s="37">
        <f t="shared" si="0"/>
        <v>8</v>
      </c>
      <c r="B13" s="57" t="s">
        <v>39</v>
      </c>
      <c r="C13" s="53"/>
      <c r="D13" s="55"/>
      <c r="E13" s="46"/>
      <c r="F13" s="40"/>
    </row>
    <row r="14" spans="1:6">
      <c r="A14" s="37">
        <f t="shared" si="0"/>
        <v>9</v>
      </c>
      <c r="B14" s="46" t="s">
        <v>38</v>
      </c>
      <c r="C14" s="53"/>
      <c r="D14" s="55"/>
      <c r="E14" s="56"/>
      <c r="F14" s="40"/>
    </row>
    <row r="15" spans="1:6">
      <c r="A15" s="37">
        <f t="shared" si="0"/>
        <v>10</v>
      </c>
      <c r="B15" s="47"/>
      <c r="C15" s="53"/>
      <c r="D15" s="54"/>
      <c r="E15" s="46"/>
      <c r="F15" s="40"/>
    </row>
    <row r="16" spans="1:6">
      <c r="A16" s="140" t="s">
        <v>40</v>
      </c>
      <c r="B16" s="141"/>
      <c r="C16" s="40">
        <f>SUM(C6:C15)</f>
        <v>14300</v>
      </c>
      <c r="D16" s="140" t="s">
        <v>41</v>
      </c>
      <c r="E16" s="142"/>
      <c r="F16" s="40">
        <f>SUM(F6:F15)</f>
        <v>2072.0500000000002</v>
      </c>
    </row>
    <row r="17" spans="1:6">
      <c r="A17" s="126" t="s">
        <v>42</v>
      </c>
      <c r="B17" s="127"/>
      <c r="C17" s="127"/>
      <c r="D17" s="127"/>
      <c r="E17" s="128"/>
      <c r="F17" s="44">
        <f>+C16++F16</f>
        <v>16372.05</v>
      </c>
    </row>
    <row r="18" spans="1:6">
      <c r="A18" s="126" t="s">
        <v>43</v>
      </c>
      <c r="B18" s="127"/>
      <c r="C18" s="127"/>
      <c r="D18" s="127"/>
      <c r="E18" s="127"/>
      <c r="F18" s="128"/>
    </row>
    <row r="19" spans="1:6" ht="30">
      <c r="A19" s="41" t="s">
        <v>25</v>
      </c>
      <c r="B19" s="129" t="s">
        <v>28</v>
      </c>
      <c r="C19" s="130"/>
      <c r="D19" s="130"/>
      <c r="E19" s="131"/>
      <c r="F19" s="42" t="s">
        <v>29</v>
      </c>
    </row>
    <row r="20" spans="1:6">
      <c r="A20" s="48">
        <v>1</v>
      </c>
      <c r="B20" s="111" t="s">
        <v>31</v>
      </c>
      <c r="C20" s="112"/>
      <c r="D20" s="112"/>
      <c r="E20" s="113"/>
      <c r="F20" s="40">
        <f>Sheet1!J12</f>
        <v>1372.8</v>
      </c>
    </row>
    <row r="21" spans="1:6">
      <c r="A21" s="48">
        <v>2</v>
      </c>
      <c r="B21" s="114" t="s">
        <v>13</v>
      </c>
      <c r="C21" s="115"/>
      <c r="D21" s="115"/>
      <c r="E21" s="116"/>
      <c r="F21" s="40">
        <f>Sheet1!K12</f>
        <v>20</v>
      </c>
    </row>
    <row r="22" spans="1:6">
      <c r="A22" s="38">
        <v>3</v>
      </c>
      <c r="B22" s="114" t="s">
        <v>44</v>
      </c>
      <c r="C22" s="115"/>
      <c r="D22" s="115"/>
      <c r="E22" s="116"/>
      <c r="F22" s="40">
        <f>Sheet1!L12</f>
        <v>100</v>
      </c>
    </row>
    <row r="23" spans="1:6">
      <c r="A23" s="38">
        <v>4</v>
      </c>
      <c r="B23" s="132" t="s">
        <v>10</v>
      </c>
      <c r="C23" s="132"/>
      <c r="D23" s="132"/>
      <c r="E23" s="132"/>
      <c r="F23" s="40">
        <f>Sheet1!M12</f>
        <v>250.25000000000003</v>
      </c>
    </row>
    <row r="24" spans="1:6">
      <c r="A24" s="38">
        <v>5</v>
      </c>
      <c r="B24" s="117"/>
      <c r="C24" s="118"/>
      <c r="D24" s="118"/>
      <c r="E24" s="119"/>
      <c r="F24" s="40"/>
    </row>
    <row r="25" spans="1:6">
      <c r="A25" s="43"/>
      <c r="B25" s="120"/>
      <c r="C25" s="121"/>
      <c r="D25" s="121"/>
      <c r="E25" s="122"/>
      <c r="F25" s="40"/>
    </row>
    <row r="26" spans="1:6" ht="15.75" thickBot="1">
      <c r="A26" s="133" t="s">
        <v>45</v>
      </c>
      <c r="B26" s="134"/>
      <c r="C26" s="134"/>
      <c r="D26" s="134"/>
      <c r="E26" s="135"/>
      <c r="F26" s="50">
        <f>SUM(F20:F25)</f>
        <v>1743.05</v>
      </c>
    </row>
    <row r="27" spans="1:6">
      <c r="A27" s="123" t="s">
        <v>47</v>
      </c>
      <c r="B27" s="124"/>
      <c r="C27" s="124"/>
      <c r="D27" s="124"/>
      <c r="E27" s="125"/>
      <c r="F27" s="51">
        <f>+C16-F26</f>
        <v>12556.95</v>
      </c>
    </row>
    <row r="28" spans="1:6" ht="19.5" thickBot="1">
      <c r="A28" s="109" t="s">
        <v>46</v>
      </c>
      <c r="B28" s="110"/>
      <c r="C28" s="110"/>
      <c r="D28" s="110"/>
      <c r="E28" s="110"/>
      <c r="F28" s="52">
        <f>Sheet1!B24</f>
        <v>0</v>
      </c>
    </row>
    <row r="30" spans="1:6">
      <c r="A30" s="108" t="s">
        <v>49</v>
      </c>
      <c r="B30" s="108"/>
      <c r="C30" s="108"/>
    </row>
    <row r="31" spans="1:6">
      <c r="A31" s="49">
        <v>1</v>
      </c>
      <c r="B31" s="39" t="str">
        <f>Sheet1!A16</f>
        <v>In this case, to bring the entered TSH at par with the calculation, the gross salary has to be reduced. So, the gross enterd as Rs. 14236 only makes the THS of 12500.</v>
      </c>
      <c r="C31" s="58">
        <f>Sheet1!B16</f>
        <v>0</v>
      </c>
    </row>
    <row r="32" spans="1:6">
      <c r="A32" s="49">
        <v>2</v>
      </c>
      <c r="B32" s="39" t="e">
        <f>Sheet1!#REF!</f>
        <v>#REF!</v>
      </c>
      <c r="C32" s="58" t="e">
        <f>Sheet1!#REF!</f>
        <v>#REF!</v>
      </c>
    </row>
    <row r="33" spans="1:3">
      <c r="A33" s="49">
        <v>3</v>
      </c>
      <c r="B33" s="39" t="e">
        <f>Sheet1!#REF!</f>
        <v>#REF!</v>
      </c>
      <c r="C33" s="58" t="str">
        <f>Sheet1!A14</f>
        <v xml:space="preserve">Selecting take home salary (THS) input with Rs. 12500 gives a backward gross salary calculation of Rs. 14300, which if calculated forward with gross salary option, we get a THS of Rs. 12556 </v>
      </c>
    </row>
    <row r="34" spans="1:3">
      <c r="A34" s="49">
        <v>4</v>
      </c>
      <c r="B34" s="39" t="e">
        <f>Sheet1!#REF!</f>
        <v>#REF!</v>
      </c>
      <c r="C34" s="58" t="e">
        <f>Sheet1!#REF!</f>
        <v>#REF!</v>
      </c>
    </row>
    <row r="35" spans="1:3">
      <c r="A35" s="49">
        <v>5</v>
      </c>
      <c r="B35" s="39" t="str">
        <f>Sheet1!A20</f>
        <v>Can the reverse calculation be modified so that both the results of THS is the same? I guess the reverse percentage calculation is incorrect.</v>
      </c>
      <c r="C35" s="58">
        <f>Sheet1!B20</f>
        <v>0</v>
      </c>
    </row>
    <row r="36" spans="1:3">
      <c r="A36" s="49">
        <v>6</v>
      </c>
      <c r="B36" s="39" t="str">
        <f>Sheet1!A21</f>
        <v>Or is there a loop calculation in which the calculated gross salary is checked and automatically be decreased or increased to match the entered THS and display the correct gross salary for the desired THS?</v>
      </c>
      <c r="C36" s="58">
        <f>Sheet1!B21</f>
        <v>0</v>
      </c>
    </row>
    <row r="37" spans="1:3">
      <c r="A37" s="49">
        <v>7</v>
      </c>
      <c r="B37" s="39">
        <f>Sheet1!A22</f>
        <v>0</v>
      </c>
      <c r="C37" s="58">
        <f>Sheet1!B22</f>
        <v>0</v>
      </c>
    </row>
    <row r="38" spans="1:3">
      <c r="A38" s="49">
        <v>8</v>
      </c>
      <c r="B38" s="39">
        <f>Sheet1!A23</f>
        <v>0</v>
      </c>
      <c r="C38" s="58">
        <f>Sheet1!B23</f>
        <v>0</v>
      </c>
    </row>
    <row r="39" spans="1:3">
      <c r="A39" s="49">
        <v>9</v>
      </c>
      <c r="B39" s="39">
        <f>Sheet1!A24</f>
        <v>0</v>
      </c>
      <c r="C39" s="59">
        <f>Sheet1!B24</f>
        <v>0</v>
      </c>
    </row>
  </sheetData>
  <mergeCells count="19">
    <mergeCell ref="A4:A5"/>
    <mergeCell ref="B4:C4"/>
    <mergeCell ref="D4:D5"/>
    <mergeCell ref="E4:F4"/>
    <mergeCell ref="A16:B16"/>
    <mergeCell ref="D16:E16"/>
    <mergeCell ref="A17:E17"/>
    <mergeCell ref="A18:F18"/>
    <mergeCell ref="B19:E19"/>
    <mergeCell ref="B23:E23"/>
    <mergeCell ref="A26:E26"/>
    <mergeCell ref="A30:C30"/>
    <mergeCell ref="A28:E28"/>
    <mergeCell ref="B20:E20"/>
    <mergeCell ref="B21:E21"/>
    <mergeCell ref="B22:E22"/>
    <mergeCell ref="B24:E24"/>
    <mergeCell ref="B25:E25"/>
    <mergeCell ref="A27:E27"/>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dc:creator>
  <cp:lastModifiedBy>Bala</cp:lastModifiedBy>
  <dcterms:created xsi:type="dcterms:W3CDTF">2016-07-21T13:08:32Z</dcterms:created>
  <dcterms:modified xsi:type="dcterms:W3CDTF">2016-12-21T11:35:23Z</dcterms:modified>
</cp:coreProperties>
</file>