
<file path=[Content_Types].xml><?xml version="1.0" encoding="utf-8"?>
<Types xmlns="http://schemas.openxmlformats.org/package/2006/content-types"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95" windowWidth="20115" windowHeight="7875" tabRatio="773" firstSheet="1" activeTab="1"/>
  </bookViews>
  <sheets>
    <sheet name="Report Template" sheetId="16" state="hidden" r:id="rId1"/>
    <sheet name="Master Data" sheetId="13" r:id="rId2"/>
    <sheet name="Group1" sheetId="17" r:id="rId3"/>
    <sheet name="Group2" sheetId="18" r:id="rId4"/>
    <sheet name="Group3" sheetId="19" r:id="rId5"/>
  </sheets>
  <definedNames>
    <definedName name="data">OFFSET('Master Data'!$A$1,0,0,COUNTA('Master Data'!$A:$A),12)</definedName>
    <definedName name="Header">'Master Data'!$B$1:$J$1</definedName>
  </definedNames>
  <calcPr calcId="144525"/>
</workbook>
</file>

<file path=xl/calcChain.xml><?xml version="1.0" encoding="utf-8"?>
<calcChain xmlns="http://schemas.openxmlformats.org/spreadsheetml/2006/main">
  <c r="S125" i="19" l="1"/>
  <c r="R125" i="19"/>
  <c r="Q125" i="19"/>
  <c r="P125" i="19"/>
  <c r="N125" i="19"/>
  <c r="S110" i="19"/>
  <c r="R110" i="19"/>
  <c r="Q110" i="19"/>
  <c r="P110" i="19"/>
  <c r="N110" i="19"/>
  <c r="S95" i="19"/>
  <c r="R95" i="19"/>
  <c r="Q95" i="19"/>
  <c r="P95" i="19"/>
  <c r="N95" i="19"/>
  <c r="S80" i="19"/>
  <c r="R80" i="19"/>
  <c r="Q80" i="19"/>
  <c r="P80" i="19"/>
  <c r="N80" i="19"/>
  <c r="S65" i="19"/>
  <c r="R65" i="19"/>
  <c r="Q65" i="19"/>
  <c r="P65" i="19"/>
  <c r="N65" i="19"/>
  <c r="S50" i="19"/>
  <c r="R50" i="19"/>
  <c r="Q50" i="19"/>
  <c r="P50" i="19"/>
  <c r="N50" i="19"/>
  <c r="S35" i="19"/>
  <c r="R35" i="19"/>
  <c r="Q35" i="19"/>
  <c r="P35" i="19"/>
  <c r="N35" i="19"/>
  <c r="S20" i="19"/>
  <c r="R20" i="19"/>
  <c r="Q20" i="19"/>
  <c r="P20" i="19"/>
  <c r="N20" i="19"/>
  <c r="S5" i="19"/>
  <c r="R5" i="19"/>
  <c r="Q5" i="19"/>
  <c r="P5" i="19"/>
  <c r="N5" i="19"/>
  <c r="M135" i="19"/>
  <c r="L135" i="19"/>
  <c r="K135" i="19"/>
  <c r="J135" i="19"/>
  <c r="I135" i="19"/>
  <c r="H135" i="19"/>
  <c r="G135" i="19"/>
  <c r="F135" i="19"/>
  <c r="E135" i="19"/>
  <c r="Q133" i="19" s="1"/>
  <c r="D135" i="19"/>
  <c r="C135" i="19"/>
  <c r="B135" i="19"/>
  <c r="A123" i="19"/>
  <c r="M120" i="19"/>
  <c r="L120" i="19"/>
  <c r="K120" i="19"/>
  <c r="J120" i="19"/>
  <c r="I120" i="19"/>
  <c r="H120" i="19"/>
  <c r="G120" i="19"/>
  <c r="F120" i="19"/>
  <c r="E120" i="19"/>
  <c r="D120" i="19"/>
  <c r="C120" i="19"/>
  <c r="B120" i="19"/>
  <c r="A108" i="19"/>
  <c r="M105" i="19"/>
  <c r="L105" i="19"/>
  <c r="K105" i="19"/>
  <c r="J105" i="19"/>
  <c r="I105" i="19"/>
  <c r="H105" i="19"/>
  <c r="G105" i="19"/>
  <c r="F105" i="19"/>
  <c r="E105" i="19"/>
  <c r="D105" i="19"/>
  <c r="C105" i="19"/>
  <c r="B105" i="19"/>
  <c r="A93" i="19"/>
  <c r="M90" i="19"/>
  <c r="L90" i="19"/>
  <c r="K90" i="19"/>
  <c r="J90" i="19"/>
  <c r="I90" i="19"/>
  <c r="H90" i="19"/>
  <c r="G90" i="19"/>
  <c r="Q88" i="19" s="1"/>
  <c r="F90" i="19"/>
  <c r="E90" i="19"/>
  <c r="D90" i="19"/>
  <c r="C90" i="19"/>
  <c r="B90" i="19"/>
  <c r="A78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A63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48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33" i="19"/>
  <c r="M30" i="19"/>
  <c r="L30" i="19"/>
  <c r="K30" i="19"/>
  <c r="S28" i="19" s="1"/>
  <c r="J30" i="19"/>
  <c r="I30" i="19"/>
  <c r="H30" i="19"/>
  <c r="G30" i="19"/>
  <c r="Q28" i="19" s="1"/>
  <c r="F30" i="19"/>
  <c r="E30" i="19"/>
  <c r="D30" i="19"/>
  <c r="C30" i="19"/>
  <c r="B30" i="19"/>
  <c r="A18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3" i="19"/>
  <c r="S125" i="18"/>
  <c r="R125" i="18"/>
  <c r="Q125" i="18"/>
  <c r="P125" i="18"/>
  <c r="N125" i="18"/>
  <c r="Q134" i="18"/>
  <c r="S110" i="18"/>
  <c r="R110" i="18"/>
  <c r="Q110" i="18"/>
  <c r="P110" i="18"/>
  <c r="N110" i="18"/>
  <c r="S95" i="18"/>
  <c r="R95" i="18"/>
  <c r="Q95" i="18"/>
  <c r="P95" i="18"/>
  <c r="N95" i="18"/>
  <c r="S80" i="18"/>
  <c r="R80" i="18"/>
  <c r="Q80" i="18"/>
  <c r="P80" i="18"/>
  <c r="N80" i="18"/>
  <c r="S65" i="18"/>
  <c r="R65" i="18"/>
  <c r="Q65" i="18"/>
  <c r="P65" i="18"/>
  <c r="N65" i="18"/>
  <c r="S50" i="18"/>
  <c r="R50" i="18"/>
  <c r="Q50" i="18"/>
  <c r="P50" i="18"/>
  <c r="N50" i="18"/>
  <c r="S35" i="18"/>
  <c r="R35" i="18"/>
  <c r="Q35" i="18"/>
  <c r="P35" i="18"/>
  <c r="N35" i="18"/>
  <c r="S20" i="18"/>
  <c r="R20" i="18"/>
  <c r="Q20" i="18"/>
  <c r="P20" i="18"/>
  <c r="N20" i="18"/>
  <c r="S5" i="18"/>
  <c r="R5" i="18"/>
  <c r="Q5" i="18"/>
  <c r="P5" i="18"/>
  <c r="N5" i="18"/>
  <c r="M135" i="18"/>
  <c r="L135" i="18"/>
  <c r="K135" i="18"/>
  <c r="S134" i="18" s="1"/>
  <c r="J135" i="18"/>
  <c r="I135" i="18"/>
  <c r="H135" i="18"/>
  <c r="R134" i="18" s="1"/>
  <c r="G135" i="18"/>
  <c r="F135" i="18"/>
  <c r="E135" i="18"/>
  <c r="D135" i="18"/>
  <c r="C135" i="18"/>
  <c r="B135" i="18"/>
  <c r="A123" i="18"/>
  <c r="M120" i="18"/>
  <c r="L120" i="18"/>
  <c r="K120" i="18"/>
  <c r="J120" i="18"/>
  <c r="I120" i="18"/>
  <c r="H120" i="18"/>
  <c r="G120" i="18"/>
  <c r="F120" i="18"/>
  <c r="E120" i="18"/>
  <c r="D120" i="18"/>
  <c r="C120" i="18"/>
  <c r="B120" i="18"/>
  <c r="A108" i="18"/>
  <c r="M105" i="18"/>
  <c r="L105" i="18"/>
  <c r="K105" i="18"/>
  <c r="J105" i="18"/>
  <c r="I105" i="18"/>
  <c r="H105" i="18"/>
  <c r="G105" i="18"/>
  <c r="F105" i="18"/>
  <c r="E105" i="18"/>
  <c r="D105" i="18"/>
  <c r="C105" i="18"/>
  <c r="B105" i="18"/>
  <c r="A93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A78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A63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48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33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18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3" i="18"/>
  <c r="S117" i="17"/>
  <c r="R117" i="17"/>
  <c r="Q117" i="17"/>
  <c r="P117" i="17"/>
  <c r="N117" i="17"/>
  <c r="S103" i="17"/>
  <c r="R103" i="17"/>
  <c r="Q103" i="17"/>
  <c r="P103" i="17"/>
  <c r="N103" i="17"/>
  <c r="S89" i="17"/>
  <c r="R89" i="17"/>
  <c r="Q89" i="17"/>
  <c r="P89" i="17"/>
  <c r="N89" i="17"/>
  <c r="S75" i="17"/>
  <c r="R75" i="17"/>
  <c r="Q75" i="17"/>
  <c r="P75" i="17"/>
  <c r="N75" i="17"/>
  <c r="S61" i="17"/>
  <c r="R61" i="17"/>
  <c r="Q61" i="17"/>
  <c r="P61" i="17"/>
  <c r="N61" i="17"/>
  <c r="S47" i="17"/>
  <c r="R47" i="17"/>
  <c r="Q47" i="17"/>
  <c r="P47" i="17"/>
  <c r="N47" i="17"/>
  <c r="S33" i="17"/>
  <c r="R33" i="17"/>
  <c r="Q33" i="17"/>
  <c r="P33" i="17"/>
  <c r="N33" i="17"/>
  <c r="S19" i="17"/>
  <c r="R19" i="17"/>
  <c r="Q19" i="17"/>
  <c r="P19" i="17"/>
  <c r="N19" i="17"/>
  <c r="S5" i="17"/>
  <c r="R5" i="17"/>
  <c r="Q5" i="17"/>
  <c r="P5" i="17"/>
  <c r="N5" i="17"/>
  <c r="M126" i="17"/>
  <c r="L126" i="17"/>
  <c r="K126" i="17"/>
  <c r="S123" i="17" s="1"/>
  <c r="J126" i="17"/>
  <c r="I126" i="17"/>
  <c r="H126" i="17"/>
  <c r="R124" i="17" s="1"/>
  <c r="G126" i="17"/>
  <c r="Q124" i="17" s="1"/>
  <c r="F126" i="17"/>
  <c r="E126" i="17"/>
  <c r="Q125" i="17" s="1"/>
  <c r="D126" i="17"/>
  <c r="C126" i="17"/>
  <c r="B126" i="17"/>
  <c r="A115" i="17"/>
  <c r="M112" i="17"/>
  <c r="L112" i="17"/>
  <c r="K112" i="17"/>
  <c r="J112" i="17"/>
  <c r="I112" i="17"/>
  <c r="H112" i="17"/>
  <c r="G112" i="17"/>
  <c r="F112" i="17"/>
  <c r="E112" i="17"/>
  <c r="D112" i="17"/>
  <c r="C112" i="17"/>
  <c r="B112" i="17"/>
  <c r="A101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A87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A73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A59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45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31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17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3" i="17"/>
  <c r="Q134" i="19" l="1"/>
  <c r="N133" i="19"/>
  <c r="P134" i="19"/>
  <c r="P133" i="19"/>
  <c r="S133" i="19"/>
  <c r="S134" i="19"/>
  <c r="N134" i="19"/>
  <c r="S88" i="19"/>
  <c r="Q103" i="19"/>
  <c r="Q118" i="19"/>
  <c r="R133" i="19"/>
  <c r="R134" i="19"/>
  <c r="N118" i="19"/>
  <c r="P119" i="19"/>
  <c r="Q119" i="19"/>
  <c r="S118" i="19"/>
  <c r="S119" i="19"/>
  <c r="N119" i="19"/>
  <c r="R118" i="19"/>
  <c r="R119" i="19"/>
  <c r="P118" i="19"/>
  <c r="N103" i="19"/>
  <c r="P104" i="19"/>
  <c r="Q104" i="19"/>
  <c r="S103" i="19"/>
  <c r="S104" i="19"/>
  <c r="N104" i="19"/>
  <c r="R103" i="19"/>
  <c r="R104" i="19"/>
  <c r="P103" i="19"/>
  <c r="N89" i="19"/>
  <c r="Q89" i="19"/>
  <c r="R88" i="19"/>
  <c r="P89" i="19"/>
  <c r="S89" i="19"/>
  <c r="N88" i="19"/>
  <c r="R89" i="19"/>
  <c r="P88" i="19"/>
  <c r="Q73" i="19"/>
  <c r="N43" i="19"/>
  <c r="P74" i="19"/>
  <c r="Q74" i="19"/>
  <c r="N73" i="19"/>
  <c r="S73" i="19"/>
  <c r="S74" i="19"/>
  <c r="N74" i="19"/>
  <c r="Q44" i="19"/>
  <c r="Q58" i="19"/>
  <c r="R73" i="19"/>
  <c r="R74" i="19"/>
  <c r="P73" i="19"/>
  <c r="Q59" i="19"/>
  <c r="N58" i="19"/>
  <c r="P59" i="19"/>
  <c r="S58" i="19"/>
  <c r="S59" i="19"/>
  <c r="N59" i="19"/>
  <c r="R58" i="19"/>
  <c r="R59" i="19"/>
  <c r="P58" i="19"/>
  <c r="S43" i="19"/>
  <c r="P44" i="19"/>
  <c r="S44" i="19"/>
  <c r="N44" i="19"/>
  <c r="R43" i="19"/>
  <c r="Q43" i="19"/>
  <c r="R44" i="19"/>
  <c r="P43" i="19"/>
  <c r="N29" i="19"/>
  <c r="Q29" i="19"/>
  <c r="P29" i="19"/>
  <c r="Q13" i="19"/>
  <c r="R28" i="19"/>
  <c r="S29" i="19"/>
  <c r="N28" i="19"/>
  <c r="R29" i="19"/>
  <c r="P28" i="19"/>
  <c r="Q14" i="19"/>
  <c r="S14" i="19"/>
  <c r="R13" i="19"/>
  <c r="N14" i="19"/>
  <c r="P14" i="19"/>
  <c r="N13" i="19"/>
  <c r="S13" i="19"/>
  <c r="S132" i="19"/>
  <c r="R14" i="19"/>
  <c r="N132" i="19"/>
  <c r="Q132" i="19"/>
  <c r="P13" i="19"/>
  <c r="N134" i="18"/>
  <c r="R130" i="19"/>
  <c r="Q131" i="19"/>
  <c r="P132" i="19"/>
  <c r="N129" i="19"/>
  <c r="Q128" i="19"/>
  <c r="S126" i="19"/>
  <c r="R132" i="19"/>
  <c r="N130" i="19"/>
  <c r="P131" i="19"/>
  <c r="S131" i="19"/>
  <c r="N131" i="19"/>
  <c r="R129" i="19"/>
  <c r="R131" i="19"/>
  <c r="Q130" i="19"/>
  <c r="Q129" i="19"/>
  <c r="P130" i="19"/>
  <c r="S130" i="19"/>
  <c r="P128" i="19"/>
  <c r="R128" i="19"/>
  <c r="P129" i="19"/>
  <c r="S129" i="19"/>
  <c r="N127" i="19"/>
  <c r="R127" i="19"/>
  <c r="S127" i="19"/>
  <c r="P127" i="19"/>
  <c r="S128" i="19"/>
  <c r="N128" i="19"/>
  <c r="R117" i="19"/>
  <c r="Q127" i="19"/>
  <c r="R126" i="19"/>
  <c r="N126" i="19"/>
  <c r="Q126" i="19"/>
  <c r="P117" i="19"/>
  <c r="S116" i="19"/>
  <c r="P126" i="19"/>
  <c r="Q117" i="19"/>
  <c r="N116" i="19"/>
  <c r="S117" i="19"/>
  <c r="N117" i="19"/>
  <c r="Q115" i="19"/>
  <c r="Q116" i="19"/>
  <c r="N115" i="19"/>
  <c r="P116" i="19"/>
  <c r="R114" i="19"/>
  <c r="R116" i="19"/>
  <c r="R115" i="19"/>
  <c r="P115" i="19"/>
  <c r="N113" i="19"/>
  <c r="S113" i="19"/>
  <c r="S115" i="19"/>
  <c r="Q113" i="19"/>
  <c r="Q114" i="19"/>
  <c r="P113" i="19"/>
  <c r="P114" i="19"/>
  <c r="S114" i="19"/>
  <c r="N114" i="19"/>
  <c r="Q112" i="19"/>
  <c r="Q102" i="19"/>
  <c r="N112" i="19"/>
  <c r="R111" i="19"/>
  <c r="S112" i="19"/>
  <c r="R113" i="19"/>
  <c r="P111" i="19"/>
  <c r="N111" i="19"/>
  <c r="S111" i="19"/>
  <c r="P112" i="19"/>
  <c r="Q111" i="19"/>
  <c r="R112" i="19"/>
  <c r="N96" i="19"/>
  <c r="R96" i="19"/>
  <c r="S96" i="19"/>
  <c r="P102" i="19"/>
  <c r="Q96" i="19"/>
  <c r="S102" i="19"/>
  <c r="N102" i="19"/>
  <c r="Q101" i="19"/>
  <c r="R102" i="19"/>
  <c r="P100" i="19"/>
  <c r="P101" i="19"/>
  <c r="S101" i="19"/>
  <c r="N101" i="19"/>
  <c r="Q100" i="19"/>
  <c r="R101" i="19"/>
  <c r="S100" i="19"/>
  <c r="N100" i="19"/>
  <c r="Q99" i="19"/>
  <c r="R100" i="19"/>
  <c r="P98" i="19"/>
  <c r="P99" i="19"/>
  <c r="S99" i="19"/>
  <c r="N99" i="19"/>
  <c r="Q98" i="19"/>
  <c r="R99" i="19"/>
  <c r="S98" i="19"/>
  <c r="N98" i="19"/>
  <c r="Q97" i="19"/>
  <c r="R98" i="19"/>
  <c r="P96" i="19"/>
  <c r="P97" i="19"/>
  <c r="S97" i="19"/>
  <c r="N97" i="19"/>
  <c r="P86" i="19"/>
  <c r="Q87" i="19"/>
  <c r="R87" i="19"/>
  <c r="R97" i="19"/>
  <c r="S87" i="19"/>
  <c r="P87" i="19"/>
  <c r="Q83" i="19"/>
  <c r="S85" i="19"/>
  <c r="N87" i="19"/>
  <c r="Q86" i="19"/>
  <c r="R85" i="19"/>
  <c r="S86" i="19"/>
  <c r="N86" i="19"/>
  <c r="P85" i="19"/>
  <c r="R86" i="19"/>
  <c r="Q85" i="19"/>
  <c r="N85" i="19"/>
  <c r="P84" i="19"/>
  <c r="N83" i="19"/>
  <c r="S83" i="19"/>
  <c r="Q84" i="19"/>
  <c r="R83" i="19"/>
  <c r="S84" i="19"/>
  <c r="N84" i="19"/>
  <c r="P83" i="19"/>
  <c r="R84" i="19"/>
  <c r="Q81" i="19"/>
  <c r="P82" i="19"/>
  <c r="N81" i="19"/>
  <c r="S81" i="19"/>
  <c r="Q82" i="19"/>
  <c r="R81" i="19"/>
  <c r="S82" i="19"/>
  <c r="N82" i="19"/>
  <c r="P81" i="19"/>
  <c r="R82" i="19"/>
  <c r="P68" i="19"/>
  <c r="Q66" i="19"/>
  <c r="R72" i="19"/>
  <c r="S66" i="19"/>
  <c r="Q72" i="19"/>
  <c r="P72" i="19"/>
  <c r="S72" i="19"/>
  <c r="N72" i="19"/>
  <c r="R70" i="19"/>
  <c r="Q71" i="19"/>
  <c r="P71" i="19"/>
  <c r="S71" i="19"/>
  <c r="N71" i="19"/>
  <c r="R71" i="19"/>
  <c r="Q70" i="19"/>
  <c r="P70" i="19"/>
  <c r="S70" i="19"/>
  <c r="N70" i="19"/>
  <c r="R66" i="19"/>
  <c r="Q69" i="19"/>
  <c r="P69" i="19"/>
  <c r="S69" i="19"/>
  <c r="N69" i="19"/>
  <c r="R69" i="19"/>
  <c r="Q68" i="19"/>
  <c r="P67" i="19"/>
  <c r="S68" i="19"/>
  <c r="N68" i="19"/>
  <c r="R68" i="19"/>
  <c r="Q67" i="19"/>
  <c r="N66" i="19"/>
  <c r="S67" i="19"/>
  <c r="N67" i="19"/>
  <c r="R67" i="19"/>
  <c r="S55" i="19"/>
  <c r="P66" i="19"/>
  <c r="R57" i="19"/>
  <c r="N55" i="19"/>
  <c r="Q56" i="19"/>
  <c r="Q57" i="19"/>
  <c r="P56" i="19"/>
  <c r="P57" i="19"/>
  <c r="S57" i="19"/>
  <c r="N57" i="19"/>
  <c r="S56" i="19"/>
  <c r="N56" i="19"/>
  <c r="R55" i="19"/>
  <c r="R56" i="19"/>
  <c r="Q53" i="19"/>
  <c r="Q55" i="19"/>
  <c r="P54" i="19"/>
  <c r="P55" i="19"/>
  <c r="Q54" i="19"/>
  <c r="N53" i="19"/>
  <c r="S53" i="19"/>
  <c r="S54" i="19"/>
  <c r="N54" i="19"/>
  <c r="R53" i="19"/>
  <c r="R54" i="19"/>
  <c r="P51" i="19"/>
  <c r="Q52" i="19"/>
  <c r="P53" i="19"/>
  <c r="S52" i="19"/>
  <c r="N51" i="19"/>
  <c r="S51" i="19"/>
  <c r="P52" i="19"/>
  <c r="R51" i="19"/>
  <c r="N52" i="19"/>
  <c r="Q51" i="19"/>
  <c r="R52" i="19"/>
  <c r="S36" i="19"/>
  <c r="N42" i="19"/>
  <c r="Q40" i="19"/>
  <c r="Q42" i="19"/>
  <c r="P42" i="19"/>
  <c r="R41" i="19"/>
  <c r="S42" i="19"/>
  <c r="Q41" i="19"/>
  <c r="R42" i="19"/>
  <c r="N40" i="19"/>
  <c r="P41" i="19"/>
  <c r="S41" i="19"/>
  <c r="N41" i="19"/>
  <c r="P40" i="19"/>
  <c r="N39" i="19"/>
  <c r="R36" i="19"/>
  <c r="S40" i="19"/>
  <c r="Q39" i="19"/>
  <c r="R40" i="19"/>
  <c r="N38" i="19"/>
  <c r="P39" i="19"/>
  <c r="S39" i="19"/>
  <c r="Q38" i="19"/>
  <c r="R39" i="19"/>
  <c r="P38" i="19"/>
  <c r="S38" i="19"/>
  <c r="Q37" i="19"/>
  <c r="R38" i="19"/>
  <c r="N36" i="19"/>
  <c r="P37" i="19"/>
  <c r="S37" i="19"/>
  <c r="N37" i="19"/>
  <c r="P27" i="19"/>
  <c r="Q36" i="19"/>
  <c r="R37" i="19"/>
  <c r="R27" i="19"/>
  <c r="Q21" i="19"/>
  <c r="P36" i="19"/>
  <c r="S27" i="19"/>
  <c r="N27" i="19"/>
  <c r="Q27" i="19"/>
  <c r="P26" i="19"/>
  <c r="N25" i="19"/>
  <c r="S25" i="19"/>
  <c r="Q26" i="19"/>
  <c r="R25" i="19"/>
  <c r="S26" i="19"/>
  <c r="N26" i="19"/>
  <c r="P25" i="19"/>
  <c r="R26" i="19"/>
  <c r="Q25" i="19"/>
  <c r="P24" i="19"/>
  <c r="N23" i="19"/>
  <c r="S23" i="19"/>
  <c r="Q24" i="19"/>
  <c r="R23" i="19"/>
  <c r="S24" i="19"/>
  <c r="N24" i="19"/>
  <c r="P23" i="19"/>
  <c r="R24" i="19"/>
  <c r="Q23" i="19"/>
  <c r="P22" i="19"/>
  <c r="N21" i="19"/>
  <c r="S21" i="19"/>
  <c r="Q22" i="19"/>
  <c r="R21" i="19"/>
  <c r="S22" i="19"/>
  <c r="N22" i="19"/>
  <c r="P21" i="19"/>
  <c r="R22" i="19"/>
  <c r="N11" i="19"/>
  <c r="Q11" i="19"/>
  <c r="S11" i="19"/>
  <c r="R11" i="19"/>
  <c r="Q12" i="19"/>
  <c r="P12" i="19"/>
  <c r="S12" i="19"/>
  <c r="N12" i="19"/>
  <c r="R12" i="19"/>
  <c r="Q10" i="19"/>
  <c r="P11" i="19"/>
  <c r="P9" i="19"/>
  <c r="P10" i="19"/>
  <c r="Q9" i="19"/>
  <c r="S9" i="19"/>
  <c r="S10" i="19"/>
  <c r="N10" i="19"/>
  <c r="R6" i="19"/>
  <c r="R10" i="19"/>
  <c r="Q6" i="19"/>
  <c r="Q8" i="19"/>
  <c r="N8" i="19"/>
  <c r="N9" i="19"/>
  <c r="S8" i="19"/>
  <c r="R9" i="19"/>
  <c r="P8" i="19"/>
  <c r="P7" i="19"/>
  <c r="R8" i="19"/>
  <c r="Q7" i="19"/>
  <c r="N6" i="19"/>
  <c r="S6" i="19"/>
  <c r="S7" i="19"/>
  <c r="N7" i="19"/>
  <c r="R7" i="19"/>
  <c r="P6" i="19"/>
  <c r="Q133" i="18"/>
  <c r="P134" i="18"/>
  <c r="N132" i="18"/>
  <c r="Q132" i="18"/>
  <c r="P133" i="18"/>
  <c r="S132" i="18"/>
  <c r="S133" i="18"/>
  <c r="N133" i="18"/>
  <c r="Q81" i="18"/>
  <c r="R132" i="18"/>
  <c r="R133" i="18"/>
  <c r="Q130" i="18"/>
  <c r="P132" i="18"/>
  <c r="Q131" i="18"/>
  <c r="N130" i="18"/>
  <c r="P131" i="18"/>
  <c r="S130" i="18"/>
  <c r="S131" i="18"/>
  <c r="N131" i="18"/>
  <c r="R130" i="18"/>
  <c r="R131" i="18"/>
  <c r="Q126" i="18"/>
  <c r="P130" i="18"/>
  <c r="Q129" i="18"/>
  <c r="N128" i="18"/>
  <c r="Q128" i="18"/>
  <c r="P129" i="18"/>
  <c r="S128" i="18"/>
  <c r="S129" i="18"/>
  <c r="N129" i="18"/>
  <c r="R128" i="18"/>
  <c r="R129" i="18"/>
  <c r="N119" i="18"/>
  <c r="P128" i="18"/>
  <c r="Q127" i="18"/>
  <c r="N126" i="18"/>
  <c r="P127" i="18"/>
  <c r="S126" i="18"/>
  <c r="S127" i="18"/>
  <c r="N127" i="18"/>
  <c r="R126" i="18"/>
  <c r="R127" i="18"/>
  <c r="S119" i="18"/>
  <c r="P126" i="18"/>
  <c r="R119" i="18"/>
  <c r="Q111" i="18"/>
  <c r="Q119" i="18"/>
  <c r="P119" i="18"/>
  <c r="N117" i="18"/>
  <c r="P118" i="18"/>
  <c r="Q118" i="18"/>
  <c r="S117" i="18"/>
  <c r="S118" i="18"/>
  <c r="N118" i="18"/>
  <c r="R117" i="18"/>
  <c r="R118" i="18"/>
  <c r="Q117" i="18"/>
  <c r="P117" i="18"/>
  <c r="N115" i="18"/>
  <c r="P116" i="18"/>
  <c r="Q116" i="18"/>
  <c r="S115" i="18"/>
  <c r="S116" i="18"/>
  <c r="N116" i="18"/>
  <c r="R115" i="18"/>
  <c r="R116" i="18"/>
  <c r="Q115" i="18"/>
  <c r="P115" i="18"/>
  <c r="N113" i="18"/>
  <c r="P114" i="18"/>
  <c r="Q114" i="18"/>
  <c r="S113" i="18"/>
  <c r="S114" i="18"/>
  <c r="N114" i="18"/>
  <c r="R113" i="18"/>
  <c r="R114" i="18"/>
  <c r="Q113" i="18"/>
  <c r="P113" i="18"/>
  <c r="S104" i="18"/>
  <c r="N111" i="18"/>
  <c r="P112" i="18"/>
  <c r="Q112" i="18"/>
  <c r="S111" i="18"/>
  <c r="S112" i="18"/>
  <c r="N112" i="18"/>
  <c r="R111" i="18"/>
  <c r="R112" i="18"/>
  <c r="R104" i="18"/>
  <c r="P111" i="18"/>
  <c r="P100" i="18"/>
  <c r="Q96" i="18"/>
  <c r="Q104" i="18"/>
  <c r="P104" i="18"/>
  <c r="N104" i="18"/>
  <c r="Q103" i="18"/>
  <c r="S101" i="18"/>
  <c r="P103" i="18"/>
  <c r="R102" i="18"/>
  <c r="S103" i="18"/>
  <c r="N103" i="18"/>
  <c r="R103" i="18"/>
  <c r="Q102" i="18"/>
  <c r="P102" i="18"/>
  <c r="S102" i="18"/>
  <c r="N102" i="18"/>
  <c r="Q101" i="18"/>
  <c r="P101" i="18"/>
  <c r="R100" i="18"/>
  <c r="N101" i="18"/>
  <c r="R101" i="18"/>
  <c r="Q100" i="18"/>
  <c r="S99" i="18"/>
  <c r="N96" i="18"/>
  <c r="S100" i="18"/>
  <c r="N100" i="18"/>
  <c r="Q99" i="18"/>
  <c r="P99" i="18"/>
  <c r="R98" i="18"/>
  <c r="N99" i="18"/>
  <c r="R99" i="18"/>
  <c r="S96" i="18"/>
  <c r="P98" i="18"/>
  <c r="Q98" i="18"/>
  <c r="S98" i="18"/>
  <c r="N98" i="18"/>
  <c r="Q97" i="18"/>
  <c r="R89" i="18"/>
  <c r="P97" i="18"/>
  <c r="R96" i="18"/>
  <c r="S97" i="18"/>
  <c r="N97" i="18"/>
  <c r="R97" i="18"/>
  <c r="P96" i="18"/>
  <c r="N89" i="18"/>
  <c r="S81" i="18"/>
  <c r="P89" i="18"/>
  <c r="S89" i="18"/>
  <c r="Q89" i="18"/>
  <c r="N88" i="18"/>
  <c r="R87" i="18"/>
  <c r="P88" i="18"/>
  <c r="Q88" i="18"/>
  <c r="S88" i="18"/>
  <c r="N87" i="18"/>
  <c r="R88" i="18"/>
  <c r="Q87" i="18"/>
  <c r="P87" i="18"/>
  <c r="S87" i="18"/>
  <c r="N86" i="18"/>
  <c r="R85" i="18"/>
  <c r="P86" i="18"/>
  <c r="Q86" i="18"/>
  <c r="S86" i="18"/>
  <c r="N85" i="18"/>
  <c r="R86" i="18"/>
  <c r="P85" i="18"/>
  <c r="Q85" i="18"/>
  <c r="S85" i="18"/>
  <c r="N84" i="18"/>
  <c r="R83" i="18"/>
  <c r="P84" i="18"/>
  <c r="S84" i="18"/>
  <c r="Q84" i="18"/>
  <c r="N83" i="18"/>
  <c r="R84" i="18"/>
  <c r="Q83" i="18"/>
  <c r="P83" i="18"/>
  <c r="S83" i="18"/>
  <c r="N82" i="18"/>
  <c r="Q82" i="18"/>
  <c r="P82" i="18"/>
  <c r="Q74" i="18"/>
  <c r="R81" i="18"/>
  <c r="S82" i="18"/>
  <c r="N81" i="18"/>
  <c r="R82" i="18"/>
  <c r="N73" i="18"/>
  <c r="S74" i="18"/>
  <c r="P81" i="18"/>
  <c r="R72" i="18"/>
  <c r="Q73" i="18"/>
  <c r="Q71" i="18"/>
  <c r="P74" i="18"/>
  <c r="N74" i="18"/>
  <c r="S73" i="18"/>
  <c r="R74" i="18"/>
  <c r="P73" i="18"/>
  <c r="S71" i="18"/>
  <c r="R73" i="18"/>
  <c r="Q72" i="18"/>
  <c r="N71" i="18"/>
  <c r="P72" i="18"/>
  <c r="S70" i="18"/>
  <c r="S72" i="18"/>
  <c r="N72" i="18"/>
  <c r="R70" i="18"/>
  <c r="Q70" i="18"/>
  <c r="P71" i="18"/>
  <c r="R71" i="18"/>
  <c r="N66" i="18"/>
  <c r="Q67" i="18"/>
  <c r="S69" i="18"/>
  <c r="P70" i="18"/>
  <c r="N70" i="18"/>
  <c r="S67" i="18"/>
  <c r="R67" i="18"/>
  <c r="Q69" i="18"/>
  <c r="P69" i="18"/>
  <c r="N69" i="18"/>
  <c r="R69" i="18"/>
  <c r="Q68" i="18"/>
  <c r="P68" i="18"/>
  <c r="S68" i="18"/>
  <c r="N68" i="18"/>
  <c r="R68" i="18"/>
  <c r="R66" i="18"/>
  <c r="Q66" i="18"/>
  <c r="S66" i="18"/>
  <c r="P67" i="18"/>
  <c r="N67" i="18"/>
  <c r="P59" i="18"/>
  <c r="S53" i="18"/>
  <c r="P66" i="18"/>
  <c r="N53" i="18"/>
  <c r="Q58" i="18"/>
  <c r="Q59" i="18"/>
  <c r="S59" i="18"/>
  <c r="N59" i="18"/>
  <c r="R58" i="18"/>
  <c r="R59" i="18"/>
  <c r="P57" i="18"/>
  <c r="P58" i="18"/>
  <c r="S58" i="18"/>
  <c r="N58" i="18"/>
  <c r="Q56" i="18"/>
  <c r="Q57" i="18"/>
  <c r="S57" i="18"/>
  <c r="N57" i="18"/>
  <c r="R56" i="18"/>
  <c r="R57" i="18"/>
  <c r="P55" i="18"/>
  <c r="P56" i="18"/>
  <c r="S56" i="18"/>
  <c r="N56" i="18"/>
  <c r="Q54" i="18"/>
  <c r="Q55" i="18"/>
  <c r="S55" i="18"/>
  <c r="N55" i="18"/>
  <c r="R54" i="18"/>
  <c r="R55" i="18"/>
  <c r="P53" i="18"/>
  <c r="P54" i="18"/>
  <c r="S54" i="18"/>
  <c r="N54" i="18"/>
  <c r="Q52" i="18"/>
  <c r="Q53" i="18"/>
  <c r="Q43" i="18"/>
  <c r="R44" i="18"/>
  <c r="N52" i="18"/>
  <c r="R51" i="18"/>
  <c r="S52" i="18"/>
  <c r="R53" i="18"/>
  <c r="P51" i="18"/>
  <c r="N51" i="18"/>
  <c r="S51" i="18"/>
  <c r="P52" i="18"/>
  <c r="Q51" i="18"/>
  <c r="R52" i="18"/>
  <c r="S44" i="18"/>
  <c r="N44" i="18"/>
  <c r="Q44" i="18"/>
  <c r="P44" i="18"/>
  <c r="N41" i="18"/>
  <c r="R41" i="18"/>
  <c r="S41" i="18"/>
  <c r="P42" i="18"/>
  <c r="P43" i="18"/>
  <c r="S43" i="18"/>
  <c r="N43" i="18"/>
  <c r="Q42" i="18"/>
  <c r="R43" i="18"/>
  <c r="S42" i="18"/>
  <c r="N42" i="18"/>
  <c r="Q41" i="18"/>
  <c r="R42" i="18"/>
  <c r="N40" i="18"/>
  <c r="S40" i="18"/>
  <c r="P41" i="18"/>
  <c r="Q39" i="18"/>
  <c r="R40" i="18"/>
  <c r="Q40" i="18"/>
  <c r="P40" i="18"/>
  <c r="N37" i="18"/>
  <c r="R36" i="18"/>
  <c r="S36" i="18"/>
  <c r="N38" i="18"/>
  <c r="P39" i="18"/>
  <c r="S39" i="18"/>
  <c r="N39" i="18"/>
  <c r="Q38" i="18"/>
  <c r="R39" i="18"/>
  <c r="P38" i="18"/>
  <c r="S38" i="18"/>
  <c r="Q37" i="18"/>
  <c r="R38" i="18"/>
  <c r="N36" i="18"/>
  <c r="P37" i="18"/>
  <c r="S37" i="18"/>
  <c r="P29" i="18"/>
  <c r="Q36" i="18"/>
  <c r="R37" i="18"/>
  <c r="Q27" i="18"/>
  <c r="P36" i="18"/>
  <c r="S29" i="18"/>
  <c r="N28" i="18"/>
  <c r="Q29" i="18"/>
  <c r="R28" i="18"/>
  <c r="N29" i="18"/>
  <c r="P28" i="18"/>
  <c r="R29" i="18"/>
  <c r="S26" i="18"/>
  <c r="Q28" i="18"/>
  <c r="S28" i="18"/>
  <c r="P25" i="18"/>
  <c r="R26" i="18"/>
  <c r="P27" i="18"/>
  <c r="R27" i="18"/>
  <c r="Q26" i="18"/>
  <c r="S27" i="18"/>
  <c r="N27" i="18"/>
  <c r="R25" i="18"/>
  <c r="P26" i="18"/>
  <c r="N25" i="18"/>
  <c r="Q24" i="18"/>
  <c r="N26" i="18"/>
  <c r="S23" i="18"/>
  <c r="Q25" i="18"/>
  <c r="S25" i="18"/>
  <c r="P23" i="18"/>
  <c r="R24" i="18"/>
  <c r="N23" i="18"/>
  <c r="R23" i="18"/>
  <c r="P24" i="18"/>
  <c r="Q21" i="18"/>
  <c r="S24" i="18"/>
  <c r="N24" i="18"/>
  <c r="Q23" i="18"/>
  <c r="P22" i="18"/>
  <c r="R14" i="18"/>
  <c r="N21" i="18"/>
  <c r="S21" i="18"/>
  <c r="Q22" i="18"/>
  <c r="R21" i="18"/>
  <c r="S22" i="18"/>
  <c r="N22" i="18"/>
  <c r="Q14" i="18"/>
  <c r="S14" i="18"/>
  <c r="P21" i="18"/>
  <c r="R22" i="18"/>
  <c r="P14" i="18"/>
  <c r="S11" i="18"/>
  <c r="N11" i="18"/>
  <c r="Q11" i="18"/>
  <c r="N14" i="18"/>
  <c r="R12" i="18"/>
  <c r="Q13" i="18"/>
  <c r="P13" i="18"/>
  <c r="S13" i="18"/>
  <c r="N13" i="18"/>
  <c r="R13" i="18"/>
  <c r="Q12" i="18"/>
  <c r="P12" i="18"/>
  <c r="S12" i="18"/>
  <c r="N12" i="18"/>
  <c r="R9" i="18"/>
  <c r="Q10" i="18"/>
  <c r="P11" i="18"/>
  <c r="N8" i="18"/>
  <c r="Q9" i="18"/>
  <c r="S8" i="18"/>
  <c r="R11" i="18"/>
  <c r="P9" i="18"/>
  <c r="P10" i="18"/>
  <c r="S10" i="18"/>
  <c r="N10" i="18"/>
  <c r="R8" i="18"/>
  <c r="R10" i="18"/>
  <c r="R7" i="18"/>
  <c r="P8" i="18"/>
  <c r="S9" i="18"/>
  <c r="N9" i="18"/>
  <c r="Q6" i="18"/>
  <c r="S7" i="18"/>
  <c r="Q8" i="18"/>
  <c r="N7" i="18"/>
  <c r="N6" i="18"/>
  <c r="Q7" i="18"/>
  <c r="R6" i="18"/>
  <c r="S6" i="18"/>
  <c r="P7" i="18"/>
  <c r="P6" i="18"/>
  <c r="N123" i="17"/>
  <c r="N124" i="17"/>
  <c r="P125" i="17"/>
  <c r="S125" i="17"/>
  <c r="N125" i="17"/>
  <c r="R123" i="17"/>
  <c r="R125" i="17"/>
  <c r="Q123" i="17"/>
  <c r="P124" i="17"/>
  <c r="S124" i="17"/>
  <c r="N122" i="17"/>
  <c r="Q122" i="17"/>
  <c r="S122" i="17"/>
  <c r="P123" i="17"/>
  <c r="R120" i="17"/>
  <c r="Q121" i="17"/>
  <c r="P122" i="17"/>
  <c r="N119" i="17"/>
  <c r="Q118" i="17"/>
  <c r="S118" i="17"/>
  <c r="R122" i="17"/>
  <c r="N120" i="17"/>
  <c r="P121" i="17"/>
  <c r="S121" i="17"/>
  <c r="N121" i="17"/>
  <c r="R119" i="17"/>
  <c r="R121" i="17"/>
  <c r="Q120" i="17"/>
  <c r="Q119" i="17"/>
  <c r="P120" i="17"/>
  <c r="S120" i="17"/>
  <c r="N118" i="17"/>
  <c r="R118" i="17"/>
  <c r="P119" i="17"/>
  <c r="S119" i="17"/>
  <c r="P111" i="17"/>
  <c r="S106" i="17"/>
  <c r="P118" i="17"/>
  <c r="N107" i="17"/>
  <c r="Q110" i="17"/>
  <c r="Q111" i="17"/>
  <c r="S111" i="17"/>
  <c r="N111" i="17"/>
  <c r="R110" i="17"/>
  <c r="R111" i="17"/>
  <c r="P109" i="17"/>
  <c r="P110" i="17"/>
  <c r="S110" i="17"/>
  <c r="N110" i="17"/>
  <c r="Q108" i="17"/>
  <c r="Q109" i="17"/>
  <c r="S109" i="17"/>
  <c r="N109" i="17"/>
  <c r="R108" i="17"/>
  <c r="R109" i="17"/>
  <c r="P107" i="17"/>
  <c r="P108" i="17"/>
  <c r="S108" i="17"/>
  <c r="N108" i="17"/>
  <c r="Q104" i="17"/>
  <c r="Q107" i="17"/>
  <c r="S107" i="17"/>
  <c r="R106" i="17"/>
  <c r="R107" i="17"/>
  <c r="Q106" i="17"/>
  <c r="P104" i="17"/>
  <c r="P106" i="17"/>
  <c r="R105" i="17"/>
  <c r="N106" i="17"/>
  <c r="Q105" i="17"/>
  <c r="N104" i="17"/>
  <c r="S104" i="17"/>
  <c r="P105" i="17"/>
  <c r="Q97" i="17"/>
  <c r="R104" i="17"/>
  <c r="S105" i="17"/>
  <c r="N105" i="17"/>
  <c r="N92" i="17"/>
  <c r="R90" i="17"/>
  <c r="S90" i="17"/>
  <c r="Q90" i="17"/>
  <c r="P96" i="17"/>
  <c r="P97" i="17"/>
  <c r="S97" i="17"/>
  <c r="N97" i="17"/>
  <c r="Q96" i="17"/>
  <c r="R97" i="17"/>
  <c r="S96" i="17"/>
  <c r="N96" i="17"/>
  <c r="Q95" i="17"/>
  <c r="R96" i="17"/>
  <c r="P94" i="17"/>
  <c r="P95" i="17"/>
  <c r="S95" i="17"/>
  <c r="N95" i="17"/>
  <c r="Q94" i="17"/>
  <c r="R95" i="17"/>
  <c r="S94" i="17"/>
  <c r="N94" i="17"/>
  <c r="Q93" i="17"/>
  <c r="R94" i="17"/>
  <c r="P92" i="17"/>
  <c r="P93" i="17"/>
  <c r="S93" i="17"/>
  <c r="N93" i="17"/>
  <c r="Q92" i="17"/>
  <c r="R93" i="17"/>
  <c r="S92" i="17"/>
  <c r="R92" i="17"/>
  <c r="N90" i="17"/>
  <c r="Q91" i="17"/>
  <c r="P91" i="17"/>
  <c r="S91" i="17"/>
  <c r="N91" i="17"/>
  <c r="P83" i="17"/>
  <c r="R91" i="17"/>
  <c r="Q82" i="17"/>
  <c r="R80" i="17"/>
  <c r="S83" i="17"/>
  <c r="P90" i="17"/>
  <c r="N82" i="17"/>
  <c r="S82" i="17"/>
  <c r="Q83" i="17"/>
  <c r="R82" i="17"/>
  <c r="N83" i="17"/>
  <c r="P82" i="17"/>
  <c r="R83" i="17"/>
  <c r="Q78" i="17"/>
  <c r="S80" i="17"/>
  <c r="P81" i="17"/>
  <c r="Q81" i="17"/>
  <c r="S81" i="17"/>
  <c r="N81" i="17"/>
  <c r="P80" i="17"/>
  <c r="R81" i="17"/>
  <c r="Q80" i="17"/>
  <c r="N80" i="17"/>
  <c r="P79" i="17"/>
  <c r="N76" i="17"/>
  <c r="S76" i="17"/>
  <c r="Q79" i="17"/>
  <c r="R78" i="17"/>
  <c r="S79" i="17"/>
  <c r="N79" i="17"/>
  <c r="P78" i="17"/>
  <c r="R79" i="17"/>
  <c r="Q77" i="17"/>
  <c r="S78" i="17"/>
  <c r="N78" i="17"/>
  <c r="P77" i="17"/>
  <c r="R76" i="17"/>
  <c r="Q76" i="17"/>
  <c r="S77" i="17"/>
  <c r="N77" i="17"/>
  <c r="P76" i="17"/>
  <c r="R77" i="17"/>
  <c r="N69" i="17"/>
  <c r="Q69" i="17"/>
  <c r="S69" i="17"/>
  <c r="R69" i="17"/>
  <c r="Q67" i="17"/>
  <c r="P69" i="17"/>
  <c r="N68" i="17"/>
  <c r="S68" i="17"/>
  <c r="Q68" i="17"/>
  <c r="N67" i="17"/>
  <c r="P68" i="17"/>
  <c r="R67" i="17"/>
  <c r="S67" i="17"/>
  <c r="R68" i="17"/>
  <c r="Q65" i="17"/>
  <c r="P67" i="17"/>
  <c r="S66" i="17"/>
  <c r="Q66" i="17"/>
  <c r="P65" i="17"/>
  <c r="Q62" i="17"/>
  <c r="P66" i="17"/>
  <c r="N66" i="17"/>
  <c r="R64" i="17"/>
  <c r="S62" i="17"/>
  <c r="R66" i="17"/>
  <c r="N62" i="17"/>
  <c r="S65" i="17"/>
  <c r="N65" i="17"/>
  <c r="R65" i="17"/>
  <c r="Q64" i="17"/>
  <c r="P64" i="17"/>
  <c r="S64" i="17"/>
  <c r="N64" i="17"/>
  <c r="R62" i="17"/>
  <c r="Q63" i="17"/>
  <c r="P63" i="17"/>
  <c r="S63" i="17"/>
  <c r="N63" i="17"/>
  <c r="R63" i="17"/>
  <c r="P55" i="17"/>
  <c r="S55" i="17"/>
  <c r="P62" i="17"/>
  <c r="N55" i="17"/>
  <c r="Q52" i="17"/>
  <c r="Q55" i="17"/>
  <c r="R54" i="17"/>
  <c r="R55" i="17"/>
  <c r="Q54" i="17"/>
  <c r="N53" i="17"/>
  <c r="P54" i="17"/>
  <c r="S53" i="17"/>
  <c r="S54" i="17"/>
  <c r="N54" i="17"/>
  <c r="Q53" i="17"/>
  <c r="P53" i="17"/>
  <c r="R52" i="17"/>
  <c r="R53" i="17"/>
  <c r="P51" i="17"/>
  <c r="P52" i="17"/>
  <c r="N51" i="17"/>
  <c r="S50" i="17"/>
  <c r="S52" i="17"/>
  <c r="N52" i="17"/>
  <c r="Q50" i="17"/>
  <c r="Q51" i="17"/>
  <c r="S51" i="17"/>
  <c r="R50" i="17"/>
  <c r="R51" i="17"/>
  <c r="N48" i="17"/>
  <c r="Q49" i="17"/>
  <c r="P50" i="17"/>
  <c r="N50" i="17"/>
  <c r="S48" i="17"/>
  <c r="P49" i="17"/>
  <c r="R48" i="17"/>
  <c r="S49" i="17"/>
  <c r="N49" i="17"/>
  <c r="Q48" i="17"/>
  <c r="R49" i="17"/>
  <c r="R40" i="17"/>
  <c r="S36" i="17"/>
  <c r="P48" i="17"/>
  <c r="Q41" i="17"/>
  <c r="P41" i="17"/>
  <c r="Q35" i="17"/>
  <c r="N41" i="17"/>
  <c r="S41" i="17"/>
  <c r="Q40" i="17"/>
  <c r="R41" i="17"/>
  <c r="N39" i="17"/>
  <c r="S39" i="17"/>
  <c r="P40" i="17"/>
  <c r="S40" i="17"/>
  <c r="N40" i="17"/>
  <c r="Q39" i="17"/>
  <c r="P39" i="17"/>
  <c r="R38" i="17"/>
  <c r="Q38" i="17"/>
  <c r="R39" i="17"/>
  <c r="N37" i="17"/>
  <c r="S37" i="17"/>
  <c r="P38" i="17"/>
  <c r="S38" i="17"/>
  <c r="N38" i="17"/>
  <c r="Q37" i="17"/>
  <c r="P37" i="17"/>
  <c r="R35" i="17"/>
  <c r="Q36" i="17"/>
  <c r="R37" i="17"/>
  <c r="N34" i="17"/>
  <c r="P36" i="17"/>
  <c r="N36" i="17"/>
  <c r="R36" i="17"/>
  <c r="S34" i="17"/>
  <c r="P35" i="17"/>
  <c r="S35" i="17"/>
  <c r="N35" i="17"/>
  <c r="Q34" i="17"/>
  <c r="R34" i="17"/>
  <c r="Q22" i="17"/>
  <c r="P34" i="17"/>
  <c r="P27" i="17"/>
  <c r="N26" i="17"/>
  <c r="S26" i="17"/>
  <c r="Q27" i="17"/>
  <c r="R26" i="17"/>
  <c r="S27" i="17"/>
  <c r="N27" i="17"/>
  <c r="P26" i="17"/>
  <c r="R27" i="17"/>
  <c r="Q26" i="17"/>
  <c r="P25" i="17"/>
  <c r="N24" i="17"/>
  <c r="S24" i="17"/>
  <c r="Q25" i="17"/>
  <c r="R24" i="17"/>
  <c r="S25" i="17"/>
  <c r="N25" i="17"/>
  <c r="P24" i="17"/>
  <c r="R25" i="17"/>
  <c r="Q24" i="17"/>
  <c r="P23" i="17"/>
  <c r="N20" i="17"/>
  <c r="S20" i="17"/>
  <c r="Q23" i="17"/>
  <c r="R22" i="17"/>
  <c r="S23" i="17"/>
  <c r="N23" i="17"/>
  <c r="P22" i="17"/>
  <c r="R23" i="17"/>
  <c r="Q21" i="17"/>
  <c r="S22" i="17"/>
  <c r="N22" i="17"/>
  <c r="P21" i="17"/>
  <c r="R20" i="17"/>
  <c r="Q20" i="17"/>
  <c r="S21" i="17"/>
  <c r="N21" i="17"/>
  <c r="P20" i="17"/>
  <c r="R21" i="17"/>
  <c r="P12" i="17"/>
  <c r="Q11" i="17"/>
  <c r="S11" i="17"/>
  <c r="R12" i="17"/>
  <c r="Q13" i="17"/>
  <c r="P13" i="17"/>
  <c r="S13" i="17"/>
  <c r="N13" i="17"/>
  <c r="R13" i="17"/>
  <c r="Q12" i="17"/>
  <c r="N11" i="17"/>
  <c r="S12" i="17"/>
  <c r="N12" i="17"/>
  <c r="R10" i="17"/>
  <c r="Q9" i="17"/>
  <c r="P11" i="17"/>
  <c r="R11" i="17"/>
  <c r="Q10" i="17"/>
  <c r="P9" i="17"/>
  <c r="P10" i="17"/>
  <c r="N9" i="17"/>
  <c r="S9" i="17"/>
  <c r="S10" i="17"/>
  <c r="N10" i="17"/>
  <c r="R6" i="17"/>
  <c r="S7" i="17"/>
  <c r="N8" i="17"/>
  <c r="Q6" i="17"/>
  <c r="R9" i="17"/>
  <c r="Q8" i="17"/>
  <c r="Q7" i="17"/>
  <c r="P8" i="17"/>
  <c r="S8" i="17"/>
  <c r="R8" i="17"/>
  <c r="N6" i="17"/>
  <c r="S6" i="17"/>
  <c r="P7" i="17"/>
  <c r="N7" i="17"/>
  <c r="R7" i="17"/>
  <c r="P6" i="17"/>
  <c r="S41" i="16"/>
  <c r="A51" i="16"/>
  <c r="A45" i="16"/>
  <c r="A39" i="16"/>
  <c r="A33" i="16"/>
  <c r="A27" i="16"/>
  <c r="A21" i="16"/>
  <c r="A15" i="16"/>
  <c r="A9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S53" i="16"/>
  <c r="S54" i="16" s="1"/>
  <c r="R53" i="16"/>
  <c r="R54" i="16" s="1"/>
  <c r="Q53" i="16"/>
  <c r="Q54" i="16" s="1"/>
  <c r="P53" i="16"/>
  <c r="P54" i="16" s="1"/>
  <c r="N53" i="16"/>
  <c r="N54" i="16" s="1"/>
  <c r="M48" i="16"/>
  <c r="L48" i="16"/>
  <c r="K48" i="16"/>
  <c r="J48" i="16"/>
  <c r="I48" i="16"/>
  <c r="H48" i="16"/>
  <c r="G48" i="16"/>
  <c r="F48" i="16"/>
  <c r="E48" i="16"/>
  <c r="D48" i="16"/>
  <c r="C48" i="16"/>
  <c r="B48" i="16"/>
  <c r="S47" i="16"/>
  <c r="S48" i="16" s="1"/>
  <c r="R47" i="16"/>
  <c r="R48" i="16" s="1"/>
  <c r="Q47" i="16"/>
  <c r="Q48" i="16" s="1"/>
  <c r="P47" i="16"/>
  <c r="P48" i="16" s="1"/>
  <c r="N47" i="16"/>
  <c r="N48" i="16" s="1"/>
  <c r="M42" i="16"/>
  <c r="L42" i="16"/>
  <c r="K42" i="16"/>
  <c r="J42" i="16"/>
  <c r="I42" i="16"/>
  <c r="H42" i="16"/>
  <c r="G42" i="16"/>
  <c r="F42" i="16"/>
  <c r="E42" i="16"/>
  <c r="D42" i="16"/>
  <c r="C42" i="16"/>
  <c r="B42" i="16"/>
  <c r="S42" i="16"/>
  <c r="R41" i="16"/>
  <c r="R42" i="16" s="1"/>
  <c r="Q41" i="16"/>
  <c r="Q42" i="16" s="1"/>
  <c r="P41" i="16"/>
  <c r="P42" i="16" s="1"/>
  <c r="N41" i="16"/>
  <c r="N42" i="16" s="1"/>
  <c r="M36" i="16"/>
  <c r="L36" i="16"/>
  <c r="K36" i="16"/>
  <c r="J36" i="16"/>
  <c r="I36" i="16"/>
  <c r="H36" i="16"/>
  <c r="G36" i="16"/>
  <c r="F36" i="16"/>
  <c r="E36" i="16"/>
  <c r="D36" i="16"/>
  <c r="C36" i="16"/>
  <c r="B36" i="16"/>
  <c r="S35" i="16"/>
  <c r="S36" i="16" s="1"/>
  <c r="R35" i="16"/>
  <c r="R36" i="16" s="1"/>
  <c r="Q35" i="16"/>
  <c r="Q36" i="16" s="1"/>
  <c r="P35" i="16"/>
  <c r="P36" i="16" s="1"/>
  <c r="N35" i="16"/>
  <c r="N36" i="16" s="1"/>
  <c r="M30" i="16"/>
  <c r="L30" i="16"/>
  <c r="K30" i="16"/>
  <c r="J30" i="16"/>
  <c r="I30" i="16"/>
  <c r="H30" i="16"/>
  <c r="G30" i="16"/>
  <c r="F30" i="16"/>
  <c r="E30" i="16"/>
  <c r="D30" i="16"/>
  <c r="C30" i="16"/>
  <c r="B30" i="16"/>
  <c r="S29" i="16"/>
  <c r="S30" i="16" s="1"/>
  <c r="R29" i="16"/>
  <c r="R30" i="16" s="1"/>
  <c r="Q29" i="16"/>
  <c r="Q30" i="16" s="1"/>
  <c r="P29" i="16"/>
  <c r="P30" i="16" s="1"/>
  <c r="N29" i="16"/>
  <c r="N30" i="16" s="1"/>
  <c r="M24" i="16"/>
  <c r="L24" i="16"/>
  <c r="K24" i="16"/>
  <c r="J24" i="16"/>
  <c r="I24" i="16"/>
  <c r="H24" i="16"/>
  <c r="G24" i="16"/>
  <c r="F24" i="16"/>
  <c r="E24" i="16"/>
  <c r="D24" i="16"/>
  <c r="C24" i="16"/>
  <c r="B24" i="16"/>
  <c r="S23" i="16"/>
  <c r="S24" i="16" s="1"/>
  <c r="R23" i="16"/>
  <c r="R24" i="16" s="1"/>
  <c r="Q23" i="16"/>
  <c r="Q24" i="16" s="1"/>
  <c r="P23" i="16"/>
  <c r="P24" i="16" s="1"/>
  <c r="N23" i="16"/>
  <c r="N24" i="16" s="1"/>
  <c r="M18" i="16"/>
  <c r="L18" i="16"/>
  <c r="K18" i="16"/>
  <c r="J18" i="16"/>
  <c r="I18" i="16"/>
  <c r="H18" i="16"/>
  <c r="G18" i="16"/>
  <c r="F18" i="16"/>
  <c r="E18" i="16"/>
  <c r="D18" i="16"/>
  <c r="C18" i="16"/>
  <c r="B18" i="16"/>
  <c r="S17" i="16"/>
  <c r="S18" i="16" s="1"/>
  <c r="R17" i="16"/>
  <c r="R18" i="16" s="1"/>
  <c r="Q17" i="16"/>
  <c r="Q18" i="16" s="1"/>
  <c r="P17" i="16"/>
  <c r="P18" i="16" s="1"/>
  <c r="N17" i="16"/>
  <c r="N18" i="16" s="1"/>
  <c r="M12" i="16"/>
  <c r="L12" i="16"/>
  <c r="K12" i="16"/>
  <c r="J12" i="16"/>
  <c r="I12" i="16"/>
  <c r="H12" i="16"/>
  <c r="G12" i="16"/>
  <c r="F12" i="16"/>
  <c r="E12" i="16"/>
  <c r="D12" i="16"/>
  <c r="C12" i="16"/>
  <c r="B12" i="16"/>
  <c r="S11" i="16"/>
  <c r="S12" i="16" s="1"/>
  <c r="R11" i="16"/>
  <c r="R12" i="16" s="1"/>
  <c r="Q11" i="16"/>
  <c r="Q12" i="16" s="1"/>
  <c r="P11" i="16"/>
  <c r="P12" i="16" s="1"/>
  <c r="N11" i="16"/>
  <c r="N12" i="16" s="1"/>
  <c r="A3" i="16"/>
  <c r="S135" i="19" l="1"/>
  <c r="R135" i="19"/>
  <c r="P135" i="19"/>
  <c r="N135" i="19"/>
  <c r="Q135" i="19"/>
  <c r="N120" i="19"/>
  <c r="R120" i="19"/>
  <c r="P120" i="19"/>
  <c r="Q120" i="19"/>
  <c r="S120" i="19"/>
  <c r="S105" i="19"/>
  <c r="Q105" i="19"/>
  <c r="R105" i="19"/>
  <c r="N105" i="19"/>
  <c r="P105" i="19"/>
  <c r="P90" i="19"/>
  <c r="Q90" i="19"/>
  <c r="N90" i="19"/>
  <c r="R90" i="19"/>
  <c r="S90" i="19"/>
  <c r="P75" i="19"/>
  <c r="S75" i="19"/>
  <c r="R75" i="19"/>
  <c r="Q75" i="19"/>
  <c r="N75" i="19"/>
  <c r="Q60" i="19"/>
  <c r="P60" i="19"/>
  <c r="R60" i="19"/>
  <c r="R45" i="19"/>
  <c r="S60" i="19"/>
  <c r="N60" i="19"/>
  <c r="Q45" i="19"/>
  <c r="S45" i="19"/>
  <c r="P45" i="19"/>
  <c r="N45" i="19"/>
  <c r="Q30" i="19"/>
  <c r="P30" i="19"/>
  <c r="N30" i="19"/>
  <c r="S30" i="19"/>
  <c r="R30" i="19"/>
  <c r="R15" i="19"/>
  <c r="Q15" i="19"/>
  <c r="P15" i="19"/>
  <c r="S15" i="19"/>
  <c r="N15" i="19"/>
  <c r="Q135" i="18"/>
  <c r="P135" i="18"/>
  <c r="S135" i="18"/>
  <c r="R135" i="18"/>
  <c r="N135" i="18"/>
  <c r="P120" i="18"/>
  <c r="R120" i="18"/>
  <c r="Q120" i="18"/>
  <c r="N120" i="18"/>
  <c r="S120" i="18"/>
  <c r="S105" i="18"/>
  <c r="Q105" i="18"/>
  <c r="N105" i="18"/>
  <c r="P105" i="18"/>
  <c r="R105" i="18"/>
  <c r="S90" i="18"/>
  <c r="Q90" i="18"/>
  <c r="P90" i="18"/>
  <c r="N90" i="18"/>
  <c r="R90" i="18"/>
  <c r="P75" i="18"/>
  <c r="Q75" i="18"/>
  <c r="N75" i="18"/>
  <c r="R75" i="18"/>
  <c r="S75" i="18"/>
  <c r="S60" i="18"/>
  <c r="N60" i="18"/>
  <c r="R60" i="18"/>
  <c r="Q60" i="18"/>
  <c r="P60" i="18"/>
  <c r="Q45" i="18"/>
  <c r="N45" i="18"/>
  <c r="S45" i="18"/>
  <c r="R45" i="18"/>
  <c r="P45" i="18"/>
  <c r="Q30" i="18"/>
  <c r="R30" i="18"/>
  <c r="N30" i="18"/>
  <c r="P30" i="18"/>
  <c r="S30" i="18"/>
  <c r="Q15" i="18"/>
  <c r="R15" i="18"/>
  <c r="N15" i="18"/>
  <c r="P15" i="18"/>
  <c r="S15" i="18"/>
  <c r="Q126" i="17"/>
  <c r="N126" i="17"/>
  <c r="R126" i="17"/>
  <c r="P126" i="17"/>
  <c r="S126" i="17"/>
  <c r="Q112" i="17"/>
  <c r="R112" i="17"/>
  <c r="P112" i="17"/>
  <c r="S112" i="17"/>
  <c r="N112" i="17"/>
  <c r="S98" i="17"/>
  <c r="Q98" i="17"/>
  <c r="P98" i="17"/>
  <c r="R98" i="17"/>
  <c r="N98" i="17"/>
  <c r="P84" i="17"/>
  <c r="Q84" i="17"/>
  <c r="S84" i="17"/>
  <c r="R84" i="17"/>
  <c r="N84" i="17"/>
  <c r="S70" i="17"/>
  <c r="Q70" i="17"/>
  <c r="P70" i="17"/>
  <c r="N70" i="17"/>
  <c r="R70" i="17"/>
  <c r="N56" i="17"/>
  <c r="R56" i="17"/>
  <c r="P56" i="17"/>
  <c r="Q56" i="17"/>
  <c r="S56" i="17"/>
  <c r="R42" i="17"/>
  <c r="Q42" i="17"/>
  <c r="N42" i="17"/>
  <c r="S42" i="17"/>
  <c r="P42" i="17"/>
  <c r="Q28" i="17"/>
  <c r="N28" i="17"/>
  <c r="S28" i="17"/>
  <c r="P28" i="17"/>
  <c r="R28" i="17"/>
  <c r="R14" i="17"/>
  <c r="Q14" i="17"/>
  <c r="P14" i="17"/>
  <c r="S14" i="17"/>
  <c r="N14" i="17"/>
  <c r="C6" i="16"/>
  <c r="D6" i="16"/>
  <c r="E6" i="16"/>
  <c r="F6" i="16"/>
  <c r="G6" i="16"/>
  <c r="H6" i="16"/>
  <c r="I6" i="16"/>
  <c r="J6" i="16"/>
  <c r="K6" i="16"/>
  <c r="L6" i="16"/>
  <c r="M6" i="16"/>
  <c r="B6" i="16"/>
  <c r="S5" i="16"/>
  <c r="S6" i="16" s="1"/>
  <c r="R5" i="16"/>
  <c r="R6" i="16" s="1"/>
  <c r="Q5" i="16"/>
  <c r="Q6" i="16" s="1"/>
  <c r="P5" i="16"/>
  <c r="P6" i="16" s="1"/>
  <c r="N5" i="16"/>
  <c r="N6" i="16" s="1"/>
</calcChain>
</file>

<file path=xl/sharedStrings.xml><?xml version="1.0" encoding="utf-8"?>
<sst xmlns="http://schemas.openxmlformats.org/spreadsheetml/2006/main" count="1248" uniqueCount="77">
  <si>
    <t>Month</t>
  </si>
  <si>
    <t>February</t>
  </si>
  <si>
    <t>Group1</t>
  </si>
  <si>
    <t>Group2</t>
  </si>
  <si>
    <t>Group3</t>
  </si>
  <si>
    <t>Person1</t>
  </si>
  <si>
    <t>Person2</t>
  </si>
  <si>
    <t>Person3</t>
  </si>
  <si>
    <t>Person4</t>
  </si>
  <si>
    <t>Person5</t>
  </si>
  <si>
    <t>Person6</t>
  </si>
  <si>
    <t>Person7</t>
  </si>
  <si>
    <t>Person8</t>
  </si>
  <si>
    <t>Person9</t>
  </si>
  <si>
    <t>Person10</t>
  </si>
  <si>
    <t>Person11</t>
  </si>
  <si>
    <t>Person12</t>
  </si>
  <si>
    <t>Person13</t>
  </si>
  <si>
    <t>Person14</t>
  </si>
  <si>
    <t>Person15</t>
  </si>
  <si>
    <t>Person16</t>
  </si>
  <si>
    <t>Person17</t>
  </si>
  <si>
    <t>Person18</t>
  </si>
  <si>
    <t>Person19</t>
  </si>
  <si>
    <t>Person20</t>
  </si>
  <si>
    <t>Person21</t>
  </si>
  <si>
    <t>Person22</t>
  </si>
  <si>
    <t>Person23</t>
  </si>
  <si>
    <t>Person24</t>
  </si>
  <si>
    <t>Person25</t>
  </si>
  <si>
    <t>Person26</t>
  </si>
  <si>
    <t>Person27</t>
  </si>
  <si>
    <t>Person</t>
  </si>
  <si>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</si>
  <si>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</si>
  <si>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</si>
  <si>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</si>
  <si>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</si>
  <si>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</si>
  <si>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</si>
  <si>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</si>
  <si>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</si>
  <si>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Group</t>
  </si>
  <si>
    <t>Name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</si>
  <si>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</si>
  <si>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</si>
  <si>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</si>
  <si>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</si>
  <si>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</si>
  <si>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</si>
  <si>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</si>
  <si>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</si>
  <si>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</si>
  <si>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</si>
  <si>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</si>
  <si>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Trend</t>
  </si>
  <si>
    <t>Q1</t>
  </si>
  <si>
    <t>Q2</t>
  </si>
  <si>
    <t>Q3</t>
  </si>
  <si>
    <t>Q4</t>
  </si>
  <si>
    <t>Grand Total</t>
  </si>
  <si>
    <t>Total</t>
  </si>
  <si>
    <t>December2</t>
  </si>
  <si>
    <t>Average of Col1</t>
  </si>
  <si>
    <t>Average of Col2</t>
  </si>
  <si>
    <t>Average of Col3</t>
  </si>
  <si>
    <t>Average of Col4</t>
  </si>
  <si>
    <t>Average of Col5</t>
  </si>
  <si>
    <t>Average of Col6</t>
  </si>
  <si>
    <t>Average of Col7</t>
  </si>
  <si>
    <t>Average of Col8</t>
  </si>
  <si>
    <t>Average of Col9</t>
  </si>
  <si>
    <t>Person28</t>
  </si>
  <si>
    <t>Person29</t>
  </si>
  <si>
    <t>Person30</t>
  </si>
  <si>
    <t>Group4</t>
  </si>
  <si>
    <t>Group6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</si>
</sst>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164" formatCode="_(* #,##0.00_);_(* \(#,##0.00\);_(* &quot;-&quot;??_);_(@_)"/>
    <numFmt numFmtId="165" formatCode="_(* #,##0_);_(* \(#,##0\);_(* &quot;-&quot;??_);_(@_)"/>
    <numFmt numFmtId="166" formatCode="0.00;[Red]0.00"/>
    <numFmt numFmtId="167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10" fontId="0" fillId="0" borderId="0" xfId="0" applyNumberFormat="1"/>
    <xf numFmtId="8" fontId="0" fillId="0" borderId="0" xfId="0" applyNumberFormat="1"/>
    <xf numFmtId="165" fontId="3" fillId="0" borderId="3" xfId="1" applyNumberFormat="1" applyFont="1" applyBorder="1"/>
    <xf numFmtId="0" fontId="5" fillId="0" borderId="0" xfId="0" applyFont="1"/>
    <xf numFmtId="0" fontId="6" fillId="0" borderId="0" xfId="0" applyFont="1"/>
    <xf numFmtId="0" fontId="0" fillId="4" borderId="0" xfId="0" applyFill="1"/>
    <xf numFmtId="10" fontId="0" fillId="4" borderId="0" xfId="0" applyNumberFormat="1" applyFill="1"/>
    <xf numFmtId="8" fontId="0" fillId="4" borderId="0" xfId="0" applyNumberFormat="1" applyFill="1"/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4" fillId="2" borderId="3" xfId="0" applyNumberFormat="1" applyFont="1" applyFill="1" applyBorder="1"/>
    <xf numFmtId="166" fontId="0" fillId="0" borderId="0" xfId="0" applyNumberFormat="1"/>
    <xf numFmtId="166" fontId="0" fillId="0" borderId="2" xfId="0" applyNumberFormat="1" applyBorder="1" applyAlignment="1">
      <alignment horizontal="center"/>
    </xf>
    <xf numFmtId="166" fontId="1" fillId="2" borderId="4" xfId="0" applyNumberFormat="1" applyFont="1" applyFill="1" applyBorder="1"/>
    <xf numFmtId="10" fontId="1" fillId="2" borderId="4" xfId="0" applyNumberFormat="1" applyFont="1" applyFill="1" applyBorder="1"/>
    <xf numFmtId="167" fontId="0" fillId="0" borderId="0" xfId="0" applyNumberFormat="1"/>
    <xf numFmtId="167" fontId="1" fillId="2" borderId="4" xfId="0" applyNumberFormat="1" applyFont="1" applyFill="1" applyBorder="1"/>
    <xf numFmtId="9" fontId="0" fillId="0" borderId="2" xfId="0" applyNumberFormat="1" applyBorder="1" applyAlignment="1">
      <alignment horizontal="center"/>
    </xf>
    <xf numFmtId="9" fontId="1" fillId="2" borderId="4" xfId="0" applyNumberFormat="1" applyFont="1" applyFill="1" applyBorder="1"/>
    <xf numFmtId="9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2" fillId="0" borderId="3" xfId="1" applyNumberFormat="1" applyFont="1" applyBorder="1"/>
    <xf numFmtId="165" fontId="7" fillId="0" borderId="3" xfId="1" applyNumberFormat="1" applyFont="1" applyBorder="1"/>
    <xf numFmtId="166" fontId="0" fillId="0" borderId="5" xfId="0" applyNumberFormat="1" applyBorder="1"/>
    <xf numFmtId="0" fontId="8" fillId="2" borderId="4" xfId="0" applyFont="1" applyFill="1" applyBorder="1"/>
    <xf numFmtId="166" fontId="8" fillId="2" borderId="4" xfId="0" applyNumberFormat="1" applyFont="1" applyFill="1" applyBorder="1"/>
    <xf numFmtId="165" fontId="9" fillId="2" borderId="3" xfId="0" applyNumberFormat="1" applyFont="1" applyFill="1" applyBorder="1"/>
    <xf numFmtId="9" fontId="0" fillId="0" borderId="5" xfId="0" applyNumberFormat="1" applyBorder="1"/>
    <xf numFmtId="10" fontId="8" fillId="2" borderId="4" xfId="0" applyNumberFormat="1" applyFont="1" applyFill="1" applyBorder="1"/>
    <xf numFmtId="9" fontId="8" fillId="2" borderId="4" xfId="0" applyNumberFormat="1" applyFont="1" applyFill="1" applyBorder="1"/>
    <xf numFmtId="167" fontId="8" fillId="2" borderId="4" xfId="0" applyNumberFormat="1" applyFont="1" applyFill="1" applyBorder="1"/>
    <xf numFmtId="165" fontId="10" fillId="0" borderId="3" xfId="1" applyNumberFormat="1" applyFont="1" applyBorder="1"/>
    <xf numFmtId="166" fontId="0" fillId="4" borderId="2" xfId="0" applyNumberFormat="1" applyFill="1" applyBorder="1" applyAlignment="1">
      <alignment horizontal="center"/>
    </xf>
    <xf numFmtId="166" fontId="0" fillId="4" borderId="0" xfId="0" applyNumberFormat="1" applyFill="1"/>
  </cellXfs>
  <cellStyles count="2">
    <cellStyle name="Comma 2" xfId="1"/>
    <cellStyle name="Normal" xfId="0" builtinId="0"/>
  </cellStyles>
  <dxfs count="147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numFmt numFmtId="166" formatCode="0.00;[Red]0.00"/>
    </dxf>
    <dxf>
      <numFmt numFmtId="166" formatCode="0.00;[Red]0.00"/>
    </dxf>
    <dxf>
      <numFmt numFmtId="166" formatCode="0.00;[Red]0.00"/>
    </dxf>
    <dxf>
      <numFmt numFmtId="166" formatCode="0.00;[Red]0.0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66" formatCode="0.00;[Red]0.00"/>
    </dxf>
    <dxf>
      <numFmt numFmtId="166" formatCode="0.00;[Red]0.00"/>
    </dxf>
    <dxf>
      <numFmt numFmtId="166" formatCode="0.00;[Red]0.00"/>
    </dxf>
    <dxf>
      <numFmt numFmtId="166" formatCode="0.00;[Red]0.00"/>
    </dxf>
    <dxf>
      <numFmt numFmtId="166" formatCode="0.00;[Red]0.00"/>
    </dxf>
    <dxf>
      <numFmt numFmtId="166" formatCode="0.00;[Red]0.00"/>
    </dxf>
    <dxf>
      <numFmt numFmtId="166" formatCode="0.00;[Red]0.00"/>
    </dxf>
    <dxf>
      <numFmt numFmtId="166" formatCode="0.00;[Red]0.00"/>
    </dxf>
    <dxf>
      <numFmt numFmtId="166" formatCode="0.00;[Red]0.00"/>
    </dxf>
    <dxf>
      <numFmt numFmtId="166" formatCode="0.00;[Red]0.00"/>
    </dxf>
    <dxf>
      <numFmt numFmtId="166" formatCode="0.00;[Red]0.00"/>
    </dxf>
    <dxf>
      <numFmt numFmtId="166" formatCode="0.00;[Red]0.0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(* #,##0_);_(* \(#,##0\);_(* &quot;-&quot;??_);_(@_)"/>
      <fill>
        <patternFill patternType="solid">
          <fgColor rgb="FF000000"/>
          <bgColor rgb="FFA6A6A6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;[Red]&quot;$&quot;#,##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7" formatCode="&quot;$&quot;#,##0.00;[Red]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0;[Red]0.00"/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166" formatCode="0.00;[Red]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 tint="-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 tint="-0.3499862666707357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9525</xdr:colOff>
      <xdr:row>0</xdr:row>
      <xdr:rowOff>40481</xdr:rowOff>
    </xdr:from>
    <xdr:to>
      <xdr:col>15</xdr:col>
      <xdr:colOff>571500</xdr:colOff>
      <xdr:row>0</xdr:row>
      <xdr:rowOff>397669</xdr:rowOff>
    </xdr:to>
    <xdr:sp macro="[0]!UpdateReport" textlink="">
      <xdr:nvSpPr>
        <xdr:cNvPr id="2" name="Bevel 1"/>
        <xdr:cNvSpPr/>
      </xdr:nvSpPr>
      <xdr:spPr>
        <a:xfrm>
          <a:off x="7477125" y="40481"/>
          <a:ext cx="1781175" cy="357188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200" b="1">
              <a:solidFill>
                <a:schemeClr val="bg1"/>
              </a:solidFill>
            </a:rPr>
            <a:t>Update  Reports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Template1" displayName="tblTemplate1" ref="A4:S6" totalsRowCount="1" headerRowDxfId="1475" totalsRowDxfId="1473" tableBorderDxfId="1474" totalsRowBorderDxfId="1472">
  <tableColumns count="19">
    <tableColumn id="1" name="Name" totalsRowLabel="Grand Total" totalsRowDxfId="1471"/>
    <tableColumn id="2" name="January" totalsRowFunction="custom" dataDxfId="1470" totalsRowDxfId="1469">
      <totalsRowFormula>IFERROR(SUBTOTAL(101,tblTemplate1[January]),"")</totalsRowFormula>
    </tableColumn>
    <tableColumn id="3" name="February" totalsRowFunction="custom" dataDxfId="1468" totalsRowDxfId="1467">
      <totalsRowFormula>IFERROR(SUBTOTAL(101,tblTemplate1[February]),"")</totalsRowFormula>
    </tableColumn>
    <tableColumn id="4" name="March" totalsRowFunction="custom" dataDxfId="1466" totalsRowDxfId="1465">
      <totalsRowFormula>IFERROR(SUBTOTAL(101,tblTemplate1[March]),"")</totalsRowFormula>
    </tableColumn>
    <tableColumn id="5" name="April" totalsRowFunction="custom" dataDxfId="1464" totalsRowDxfId="1463">
      <totalsRowFormula>IFERROR(SUBTOTAL(101,tblTemplate1[April]),"")</totalsRowFormula>
    </tableColumn>
    <tableColumn id="6" name="May" totalsRowFunction="custom" dataDxfId="1462" totalsRowDxfId="1461">
      <totalsRowFormula>IFERROR(SUBTOTAL(101,tblTemplate1[May]),"")</totalsRowFormula>
    </tableColumn>
    <tableColumn id="7" name="June" totalsRowFunction="custom" dataDxfId="1460" totalsRowDxfId="1459">
      <totalsRowFormula>IFERROR(SUBTOTAL(101,tblTemplate1[June]),"")</totalsRowFormula>
    </tableColumn>
    <tableColumn id="8" name="July" totalsRowFunction="custom" dataDxfId="1458" totalsRowDxfId="1457">
      <totalsRowFormula>IFERROR(SUBTOTAL(101,tblTemplate1[July]),"")</totalsRowFormula>
    </tableColumn>
    <tableColumn id="9" name="August" totalsRowFunction="custom" dataDxfId="1456" totalsRowDxfId="1455">
      <totalsRowFormula>IFERROR(SUBTOTAL(101,tblTemplate1[August]),"")</totalsRowFormula>
    </tableColumn>
    <tableColumn id="10" name="September" totalsRowFunction="custom" dataDxfId="1454" totalsRowDxfId="1453">
      <totalsRowFormula>IFERROR(SUBTOTAL(101,tblTemplate1[September]),"")</totalsRowFormula>
    </tableColumn>
    <tableColumn id="11" name="October" totalsRowFunction="custom" dataDxfId="1452" totalsRowDxfId="1451">
      <totalsRowFormula>IFERROR(SUBTOTAL(101,tblTemplate1[October]),"")</totalsRowFormula>
    </tableColumn>
    <tableColumn id="12" name="November" totalsRowFunction="custom" dataDxfId="1450" totalsRowDxfId="1449">
      <totalsRowFormula>IFERROR(SUBTOTAL(101,tblTemplate1[November]),"")</totalsRowFormula>
    </tableColumn>
    <tableColumn id="13" name="December" totalsRowFunction="custom" dataDxfId="1448" totalsRowDxfId="1447">
      <totalsRowFormula>IFERROR(SUBTOTAL(101,tblTemplate1[December]),"")</totalsRowFormula>
    </tableColumn>
    <tableColumn id="14" name="December2" totalsRowFunction="custom" dataDxfId="1446" totalsRowDxfId="1445">
      <calculatedColumnFormula>IFERROR(AVERAGE(B5:M5),"")</calculatedColumnFormula>
      <totalsRowFormula>IFERROR(SUBTOTAL(101,tblTemplate1[December2]),"")</totalsRowFormula>
    </tableColumn>
    <tableColumn id="15" name="Trend" dataDxfId="1444" totalsRowDxfId="1443" dataCellStyle="Comma 2"/>
    <tableColumn id="16" name="Q1" totalsRowFunction="custom" dataDxfId="1442" totalsRowDxfId="1441">
      <calculatedColumnFormula>IFERROR(AVERAGE(B5:D5),"")</calculatedColumnFormula>
      <totalsRowFormula>IFERROR(SUBTOTAL(101,tblTemplate1[Q1]),"")</totalsRowFormula>
    </tableColumn>
    <tableColumn id="17" name="Q2" totalsRowFunction="custom" dataDxfId="1440" totalsRowDxfId="1439">
      <calculatedColumnFormula>IFERROR(AVERAGE(E5:G5),"")</calculatedColumnFormula>
      <totalsRowFormula>IFERROR(SUBTOTAL(101,tblTemplate1[Q2]),"")</totalsRowFormula>
    </tableColumn>
    <tableColumn id="18" name="Q3" totalsRowFunction="custom" dataDxfId="1438" totalsRowDxfId="1437">
      <calculatedColumnFormula>IFERROR(AVERAGE(H5:J5),"")</calculatedColumnFormula>
      <totalsRowFormula>IFERROR(SUBTOTAL(101,tblTemplate1[Q3]),"")</totalsRowFormula>
    </tableColumn>
    <tableColumn id="19" name="Q4" totalsRowFunction="custom" dataDxfId="1436" totalsRowDxfId="1435">
      <calculatedColumnFormula>IFERROR(AVERAGE(K5:M5),"")</calculatedColumnFormula>
      <totalsRowFormula>IFERROR(SUBTOTAL(101,tblTemplate1[Q4]),"")</totalsRow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blTemplate111" displayName="tblTemplate111" ref="A4:S14" totalsRowCount="1" headerRowDxfId="1106" totalsRowDxfId="1104" tableBorderDxfId="1105" totalsRowBorderDxfId="1103">
  <tableColumns count="19">
    <tableColumn id="1" name="Name" totalsRowLabel="Grand Total" totalsRowDxfId="18"/>
    <tableColumn id="2" name="January" totalsRowFunction="custom" dataDxfId="1102" totalsRowDxfId="17">
      <totalsRowFormula>IFERROR(SUBTOTAL(101,tblTemplate111[January]),"")</totalsRowFormula>
    </tableColumn>
    <tableColumn id="3" name="February" totalsRowFunction="custom" dataDxfId="1101" totalsRowDxfId="16">
      <totalsRowFormula>IFERROR(SUBTOTAL(101,tblTemplate111[February]),"")</totalsRowFormula>
    </tableColumn>
    <tableColumn id="4" name="March" totalsRowFunction="custom" dataDxfId="1100" totalsRowDxfId="15">
      <totalsRowFormula>IFERROR(SUBTOTAL(101,tblTemplate111[March]),"")</totalsRowFormula>
    </tableColumn>
    <tableColumn id="5" name="April" totalsRowFunction="custom" dataDxfId="1099" totalsRowDxfId="14">
      <totalsRowFormula>IFERROR(SUBTOTAL(101,tblTemplate111[April]),"")</totalsRowFormula>
    </tableColumn>
    <tableColumn id="6" name="May" totalsRowFunction="custom" dataDxfId="1098" totalsRowDxfId="13">
      <totalsRowFormula>IFERROR(SUBTOTAL(101,tblTemplate111[May]),"")</totalsRowFormula>
    </tableColumn>
    <tableColumn id="7" name="June" totalsRowFunction="custom" dataDxfId="1097" totalsRowDxfId="12">
      <totalsRowFormula>IFERROR(SUBTOTAL(101,tblTemplate111[June]),"")</totalsRowFormula>
    </tableColumn>
    <tableColumn id="8" name="July" totalsRowFunction="custom" dataDxfId="1096" totalsRowDxfId="11">
      <totalsRowFormula>IFERROR(SUBTOTAL(101,tblTemplate111[July]),"")</totalsRowFormula>
    </tableColumn>
    <tableColumn id="9" name="August" totalsRowFunction="custom" dataDxfId="1095" totalsRowDxfId="10">
      <totalsRowFormula>IFERROR(SUBTOTAL(101,tblTemplate111[August]),"")</totalsRowFormula>
    </tableColumn>
    <tableColumn id="10" name="September" totalsRowFunction="custom" dataDxfId="1094" totalsRowDxfId="9">
      <totalsRowFormula>IFERROR(SUBTOTAL(101,tblTemplate111[September]),"")</totalsRowFormula>
    </tableColumn>
    <tableColumn id="11" name="October" totalsRowFunction="custom" dataDxfId="1093" totalsRowDxfId="8">
      <totalsRowFormula>IFERROR(SUBTOTAL(101,tblTemplate111[October]),"")</totalsRowFormula>
    </tableColumn>
    <tableColumn id="12" name="November" totalsRowFunction="custom" dataDxfId="1092" totalsRowDxfId="7">
      <totalsRowFormula>IFERROR(SUBTOTAL(101,tblTemplate111[November]),"")</totalsRowFormula>
    </tableColumn>
    <tableColumn id="13" name="December" totalsRowFunction="custom" dataDxfId="1091" totalsRowDxfId="6">
      <totalsRowFormula>IFERROR(SUBTOTAL(101,tblTemplate111[December]),"")</totalsRowFormula>
    </tableColumn>
    <tableColumn id="14" name="Average of Col1" totalsRowFunction="custom" dataDxfId="1090" totalsRowDxfId="5">
      <calculatedColumnFormula>IFERROR(AVERAGE(B5:M13),"")</calculatedColumnFormula>
      <totalsRowFormula>IFERROR(SUBTOTAL(101,tblTemplate111[Average of Col1]),"")</totalsRowFormula>
    </tableColumn>
    <tableColumn id="15" name="Trend" dataDxfId="1089" totalsRowDxfId="4" dataCellStyle="Comma 2"/>
    <tableColumn id="16" name="Q1" totalsRowFunction="custom" dataDxfId="1088" totalsRowDxfId="3">
      <calculatedColumnFormula>IFERROR(AVERAGE(B5:D13),"")</calculatedColumnFormula>
      <totalsRowFormula>IFERROR(SUBTOTAL(101,tblTemplate111[Q1]),"")</totalsRowFormula>
    </tableColumn>
    <tableColumn id="17" name="Q2" totalsRowFunction="custom" dataDxfId="1087" totalsRowDxfId="2">
      <calculatedColumnFormula>IFERROR(AVERAGE(E5:G13),"")</calculatedColumnFormula>
      <totalsRowFormula>IFERROR(SUBTOTAL(101,tblTemplate111[Q2]),"")</totalsRowFormula>
    </tableColumn>
    <tableColumn id="18" name="Q3" totalsRowFunction="custom" dataDxfId="1086" totalsRowDxfId="1">
      <calculatedColumnFormula>IFERROR(AVERAGE(H5:J13),"")</calculatedColumnFormula>
      <totalsRowFormula>IFERROR(SUBTOTAL(101,tblTemplate111[Q3]),"")</totalsRowFormula>
    </tableColumn>
    <tableColumn id="19" name="Q4" totalsRowFunction="custom" dataDxfId="1085" totalsRowDxfId="0">
      <calculatedColumnFormula>IFERROR(AVERAGE(K5:M13),"")</calculatedColumnFormula>
      <totalsRowFormula>IFERROR(SUBTOTAL(101,tblTemplate111[Q4]),"")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blTemplate212" displayName="tblTemplate212" ref="A18:S28" totalsRowCount="1" headerRowDxfId="1084" totalsRowDxfId="1082" tableBorderDxfId="1083" totalsRowBorderDxfId="1081">
  <tableColumns count="19">
    <tableColumn id="1" name="Name" totalsRowLabel="Grand Total" totalsRowDxfId="1080"/>
    <tableColumn id="2" name="January" totalsRowFunction="custom" dataDxfId="1079" totalsRowDxfId="1078">
      <totalsRowFormula>IFERROR(SUBTOTAL(101,tblTemplate212[January]),"")</totalsRowFormula>
    </tableColumn>
    <tableColumn id="3" name="February" totalsRowFunction="custom" dataDxfId="1077" totalsRowDxfId="1076">
      <totalsRowFormula>IFERROR(SUBTOTAL(101,tblTemplate212[February]),"")</totalsRowFormula>
    </tableColumn>
    <tableColumn id="4" name="March" totalsRowFunction="custom" dataDxfId="1075" totalsRowDxfId="1074">
      <totalsRowFormula>IFERROR(SUBTOTAL(101,tblTemplate212[March]),"")</totalsRowFormula>
    </tableColumn>
    <tableColumn id="5" name="April" totalsRowFunction="custom" dataDxfId="1073" totalsRowDxfId="1072">
      <totalsRowFormula>IFERROR(SUBTOTAL(101,tblTemplate212[April]),"")</totalsRowFormula>
    </tableColumn>
    <tableColumn id="6" name="May" totalsRowFunction="custom" dataDxfId="1071" totalsRowDxfId="1070">
      <totalsRowFormula>IFERROR(SUBTOTAL(101,tblTemplate212[May]),"")</totalsRowFormula>
    </tableColumn>
    <tableColumn id="7" name="June" totalsRowFunction="custom" dataDxfId="1069" totalsRowDxfId="1068">
      <totalsRowFormula>IFERROR(SUBTOTAL(101,tblTemplate212[June]),"")</totalsRowFormula>
    </tableColumn>
    <tableColumn id="8" name="July" totalsRowFunction="custom" dataDxfId="1067" totalsRowDxfId="1066">
      <totalsRowFormula>IFERROR(SUBTOTAL(101,tblTemplate212[July]),"")</totalsRowFormula>
    </tableColumn>
    <tableColumn id="9" name="August" totalsRowFunction="custom" dataDxfId="1065" totalsRowDxfId="1064">
      <totalsRowFormula>IFERROR(SUBTOTAL(101,tblTemplate212[August]),"")</totalsRowFormula>
    </tableColumn>
    <tableColumn id="10" name="September" totalsRowFunction="custom" dataDxfId="1063" totalsRowDxfId="1062">
      <totalsRowFormula>IFERROR(SUBTOTAL(101,tblTemplate212[September]),"")</totalsRowFormula>
    </tableColumn>
    <tableColumn id="11" name="October" totalsRowFunction="custom" dataDxfId="1061" totalsRowDxfId="1060">
      <totalsRowFormula>IFERROR(SUBTOTAL(101,tblTemplate212[October]),"")</totalsRowFormula>
    </tableColumn>
    <tableColumn id="12" name="November" totalsRowFunction="custom" dataDxfId="1059" totalsRowDxfId="1058">
      <totalsRowFormula>IFERROR(SUBTOTAL(101,tblTemplate212[November]),"")</totalsRowFormula>
    </tableColumn>
    <tableColumn id="13" name="December" totalsRowFunction="custom" dataDxfId="1057" totalsRowDxfId="1056">
      <totalsRowFormula>IFERROR(SUBTOTAL(101,tblTemplate212[December]),"")</totalsRowFormula>
    </tableColumn>
    <tableColumn id="14" name="Average of Col2" totalsRowFunction="custom" dataDxfId="1055" totalsRowDxfId="1054">
      <calculatedColumnFormula>IFERROR(AVERAGE(B19:M27),"")</calculatedColumnFormula>
      <totalsRowFormula>IFERROR(SUBTOTAL(101,tblTemplate212[Average of Col2]),"")</totalsRowFormula>
    </tableColumn>
    <tableColumn id="15" name="Trend" dataDxfId="1053" totalsRowDxfId="1052" dataCellStyle="Comma 2"/>
    <tableColumn id="16" name="Q1" totalsRowFunction="custom" dataDxfId="1051" totalsRowDxfId="1050">
      <calculatedColumnFormula>IFERROR(AVERAGE(B19:D27),"")</calculatedColumnFormula>
      <totalsRowFormula>IFERROR(SUBTOTAL(101,tblTemplate212[Q1]),"")</totalsRowFormula>
    </tableColumn>
    <tableColumn id="17" name="Q2" totalsRowFunction="custom" dataDxfId="1049" totalsRowDxfId="1048">
      <calculatedColumnFormula>IFERROR(AVERAGE(E19:G27),"")</calculatedColumnFormula>
      <totalsRowFormula>IFERROR(SUBTOTAL(101,tblTemplate212[Q2]),"")</totalsRowFormula>
    </tableColumn>
    <tableColumn id="18" name="Q3" totalsRowFunction="custom" dataDxfId="1047" totalsRowDxfId="1046">
      <calculatedColumnFormula>IFERROR(AVERAGE(H19:J27),"")</calculatedColumnFormula>
      <totalsRowFormula>IFERROR(SUBTOTAL(101,tblTemplate212[Q3]),"")</totalsRowFormula>
    </tableColumn>
    <tableColumn id="19" name="Q4" totalsRowFunction="custom" dataDxfId="1045" totalsRowDxfId="1044">
      <calculatedColumnFormula>IFERROR(AVERAGE(K19:M27),"")</calculatedColumnFormula>
      <totalsRowFormula>IFERROR(SUBTOTAL(101,tblTemplate212[Q4]),"")</totalsRow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blTemplate313" displayName="tblTemplate313" ref="A32:S42" totalsRowCount="1" headerRowDxfId="1043" totalsRowDxfId="1041" tableBorderDxfId="1042" totalsRowBorderDxfId="1040">
  <tableColumns count="19">
    <tableColumn id="1" name="Name" totalsRowLabel="Grand Total" totalsRowDxfId="1039"/>
    <tableColumn id="2" name="January" totalsRowFunction="custom" dataDxfId="1038" totalsRowDxfId="1037">
      <totalsRowFormula>IFERROR(SUBTOTAL(101,tblTemplate313[January]),"")</totalsRowFormula>
    </tableColumn>
    <tableColumn id="3" name="February" totalsRowFunction="custom" dataDxfId="1036" totalsRowDxfId="1035">
      <totalsRowFormula>IFERROR(SUBTOTAL(101,tblTemplate313[February]),"")</totalsRowFormula>
    </tableColumn>
    <tableColumn id="4" name="March" totalsRowFunction="custom" dataDxfId="1034" totalsRowDxfId="1033">
      <totalsRowFormula>IFERROR(SUBTOTAL(101,tblTemplate313[March]),"")</totalsRowFormula>
    </tableColumn>
    <tableColumn id="5" name="April" totalsRowFunction="custom" dataDxfId="1032" totalsRowDxfId="1031">
      <totalsRowFormula>IFERROR(SUBTOTAL(101,tblTemplate313[April]),"")</totalsRowFormula>
    </tableColumn>
    <tableColumn id="6" name="May" totalsRowFunction="custom" dataDxfId="1030" totalsRowDxfId="1029">
      <totalsRowFormula>IFERROR(SUBTOTAL(101,tblTemplate313[May]),"")</totalsRowFormula>
    </tableColumn>
    <tableColumn id="7" name="June" totalsRowFunction="custom" dataDxfId="1028" totalsRowDxfId="1027">
      <totalsRowFormula>IFERROR(SUBTOTAL(101,tblTemplate313[June]),"")</totalsRowFormula>
    </tableColumn>
    <tableColumn id="8" name="July" totalsRowFunction="custom" dataDxfId="1026" totalsRowDxfId="1025">
      <totalsRowFormula>IFERROR(SUBTOTAL(101,tblTemplate313[July]),"")</totalsRowFormula>
    </tableColumn>
    <tableColumn id="9" name="August" totalsRowFunction="custom" dataDxfId="1024" totalsRowDxfId="1023">
      <totalsRowFormula>IFERROR(SUBTOTAL(101,tblTemplate313[August]),"")</totalsRowFormula>
    </tableColumn>
    <tableColumn id="10" name="September" totalsRowFunction="custom" dataDxfId="1022" totalsRowDxfId="1021">
      <totalsRowFormula>IFERROR(SUBTOTAL(101,tblTemplate313[September]),"")</totalsRowFormula>
    </tableColumn>
    <tableColumn id="11" name="October" totalsRowFunction="custom" dataDxfId="1020" totalsRowDxfId="1019">
      <totalsRowFormula>IFERROR(SUBTOTAL(101,tblTemplate313[October]),"")</totalsRowFormula>
    </tableColumn>
    <tableColumn id="12" name="November" totalsRowFunction="custom" dataDxfId="1018" totalsRowDxfId="1017">
      <totalsRowFormula>IFERROR(SUBTOTAL(101,tblTemplate313[November]),"")</totalsRowFormula>
    </tableColumn>
    <tableColumn id="13" name="December" totalsRowFunction="custom" dataDxfId="1016" totalsRowDxfId="1015">
      <totalsRowFormula>IFERROR(SUBTOTAL(101,tblTemplate313[December]),"")</totalsRowFormula>
    </tableColumn>
    <tableColumn id="14" name="Average of Col3" totalsRowFunction="custom" dataDxfId="1014" totalsRowDxfId="1013">
      <calculatedColumnFormula>IFERROR(AVERAGE(B33:M41),"")</calculatedColumnFormula>
      <totalsRowFormula>IFERROR(SUBTOTAL(101,tblTemplate313[Average of Col3]),"")</totalsRowFormula>
    </tableColumn>
    <tableColumn id="15" name="Trend" dataDxfId="1012" totalsRowDxfId="1011" dataCellStyle="Comma 2"/>
    <tableColumn id="16" name="Q1" totalsRowFunction="custom" dataDxfId="1010" totalsRowDxfId="1009">
      <calculatedColumnFormula>IFERROR(AVERAGE(B33:D41),"")</calculatedColumnFormula>
      <totalsRowFormula>IFERROR(SUBTOTAL(101,tblTemplate313[Q1]),"")</totalsRowFormula>
    </tableColumn>
    <tableColumn id="17" name="Q2" totalsRowFunction="custom" dataDxfId="1008" totalsRowDxfId="1007">
      <calculatedColumnFormula>IFERROR(AVERAGE(E33:G41),"")</calculatedColumnFormula>
      <totalsRowFormula>IFERROR(SUBTOTAL(101,tblTemplate313[Q2]),"")</totalsRowFormula>
    </tableColumn>
    <tableColumn id="18" name="Q3" totalsRowFunction="custom" dataDxfId="1006" totalsRowDxfId="1005">
      <calculatedColumnFormula>IFERROR(AVERAGE(H33:J41),"")</calculatedColumnFormula>
      <totalsRowFormula>IFERROR(SUBTOTAL(101,tblTemplate313[Q3]),"")</totalsRowFormula>
    </tableColumn>
    <tableColumn id="19" name="Q4" totalsRowFunction="custom" dataDxfId="1004" totalsRowDxfId="1003">
      <calculatedColumnFormula>IFERROR(AVERAGE(K33:M41),"")</calculatedColumnFormula>
      <totalsRowFormula>IFERROR(SUBTOTAL(101,tblTemplate313[Q4]),"")</totalsRowFormula>
    </tableColumn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blTemplate414" displayName="tblTemplate414" ref="A46:S56" totalsRowCount="1" headerRowDxfId="1002" totalsRowDxfId="1000" tableBorderDxfId="1001" totalsRowBorderDxfId="999">
  <tableColumns count="19">
    <tableColumn id="1" name="Name" totalsRowLabel="Grand Total" totalsRowDxfId="998"/>
    <tableColumn id="2" name="January" totalsRowFunction="custom" dataDxfId="997" totalsRowDxfId="996">
      <totalsRowFormula>IFERROR(SUBTOTAL(101,tblTemplate414[January]),"")</totalsRowFormula>
    </tableColumn>
    <tableColumn id="3" name="February" totalsRowFunction="custom" dataDxfId="995" totalsRowDxfId="994">
      <totalsRowFormula>IFERROR(SUBTOTAL(101,tblTemplate414[February]),"")</totalsRowFormula>
    </tableColumn>
    <tableColumn id="4" name="March" totalsRowFunction="custom" dataDxfId="993" totalsRowDxfId="992">
      <totalsRowFormula>IFERROR(SUBTOTAL(101,tblTemplate414[March]),"")</totalsRowFormula>
    </tableColumn>
    <tableColumn id="5" name="April" totalsRowFunction="custom" dataDxfId="991" totalsRowDxfId="990">
      <totalsRowFormula>IFERROR(SUBTOTAL(101,tblTemplate414[April]),"")</totalsRowFormula>
    </tableColumn>
    <tableColumn id="6" name="May" totalsRowFunction="custom" dataDxfId="989" totalsRowDxfId="988">
      <totalsRowFormula>IFERROR(SUBTOTAL(101,tblTemplate414[May]),"")</totalsRowFormula>
    </tableColumn>
    <tableColumn id="7" name="June" totalsRowFunction="custom" dataDxfId="987" totalsRowDxfId="986">
      <totalsRowFormula>IFERROR(SUBTOTAL(101,tblTemplate414[June]),"")</totalsRowFormula>
    </tableColumn>
    <tableColumn id="8" name="July" totalsRowFunction="custom" dataDxfId="985" totalsRowDxfId="984">
      <totalsRowFormula>IFERROR(SUBTOTAL(101,tblTemplate414[July]),"")</totalsRowFormula>
    </tableColumn>
    <tableColumn id="9" name="August" totalsRowFunction="custom" dataDxfId="983" totalsRowDxfId="982">
      <totalsRowFormula>IFERROR(SUBTOTAL(101,tblTemplate414[August]),"")</totalsRowFormula>
    </tableColumn>
    <tableColumn id="10" name="September" totalsRowFunction="custom" dataDxfId="981" totalsRowDxfId="980">
      <totalsRowFormula>IFERROR(SUBTOTAL(101,tblTemplate414[September]),"")</totalsRowFormula>
    </tableColumn>
    <tableColumn id="11" name="October" totalsRowFunction="custom" dataDxfId="979" totalsRowDxfId="978">
      <totalsRowFormula>IFERROR(SUBTOTAL(101,tblTemplate414[October]),"")</totalsRowFormula>
    </tableColumn>
    <tableColumn id="12" name="November" totalsRowFunction="custom" dataDxfId="977" totalsRowDxfId="976">
      <totalsRowFormula>IFERROR(SUBTOTAL(101,tblTemplate414[November]),"")</totalsRowFormula>
    </tableColumn>
    <tableColumn id="13" name="December" totalsRowFunction="custom" dataDxfId="975" totalsRowDxfId="974">
      <totalsRowFormula>IFERROR(SUBTOTAL(101,tblTemplate414[December]),"")</totalsRowFormula>
    </tableColumn>
    <tableColumn id="14" name="Average of Col4" totalsRowFunction="custom" dataDxfId="973" totalsRowDxfId="972">
      <calculatedColumnFormula>IFERROR(AVERAGE(B47:M55),"")</calculatedColumnFormula>
      <totalsRowFormula>IFERROR(SUBTOTAL(101,tblTemplate414[Average of Col4]),"")</totalsRowFormula>
    </tableColumn>
    <tableColumn id="15" name="Trend" dataDxfId="971" totalsRowDxfId="970" dataCellStyle="Comma 2"/>
    <tableColumn id="16" name="Q1" totalsRowFunction="custom" dataDxfId="969" totalsRowDxfId="968">
      <calculatedColumnFormula>IFERROR(AVERAGE(B47:D55),"")</calculatedColumnFormula>
      <totalsRowFormula>IFERROR(SUBTOTAL(101,tblTemplate414[Q1]),"")</totalsRowFormula>
    </tableColumn>
    <tableColumn id="17" name="Q2" totalsRowFunction="custom" dataDxfId="967" totalsRowDxfId="966">
      <calculatedColumnFormula>IFERROR(AVERAGE(E47:G55),"")</calculatedColumnFormula>
      <totalsRowFormula>IFERROR(SUBTOTAL(101,tblTemplate414[Q2]),"")</totalsRowFormula>
    </tableColumn>
    <tableColumn id="18" name="Q3" totalsRowFunction="custom" dataDxfId="965" totalsRowDxfId="964">
      <calculatedColumnFormula>IFERROR(AVERAGE(H47:J55),"")</calculatedColumnFormula>
      <totalsRowFormula>IFERROR(SUBTOTAL(101,tblTemplate414[Q3]),"")</totalsRowFormula>
    </tableColumn>
    <tableColumn id="19" name="Q4" totalsRowFunction="custom" dataDxfId="963" totalsRowDxfId="962">
      <calculatedColumnFormula>IFERROR(AVERAGE(K47:M55),"")</calculatedColumnFormula>
      <totalsRowFormula>IFERROR(SUBTOTAL(101,tblTemplate414[Q4]),"")</totalsRowFormula>
    </tableColumn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blTemplate515" displayName="tblTemplate515" ref="A60:S70" totalsRowCount="1" headerRowDxfId="961" totalsRowDxfId="959" tableBorderDxfId="960" totalsRowBorderDxfId="958">
  <tableColumns count="19">
    <tableColumn id="1" name="Name" totalsRowLabel="Grand Total" totalsRowDxfId="957"/>
    <tableColumn id="2" name="January" totalsRowFunction="custom" dataDxfId="956" totalsRowDxfId="955">
      <totalsRowFormula>IFERROR(SUBTOTAL(101,tblTemplate515[January]),"")</totalsRowFormula>
    </tableColumn>
    <tableColumn id="3" name="February" totalsRowFunction="custom" dataDxfId="954" totalsRowDxfId="953">
      <totalsRowFormula>IFERROR(SUBTOTAL(101,tblTemplate515[February]),"")</totalsRowFormula>
    </tableColumn>
    <tableColumn id="4" name="March" totalsRowFunction="custom" dataDxfId="952" totalsRowDxfId="951">
      <totalsRowFormula>IFERROR(SUBTOTAL(101,tblTemplate515[March]),"")</totalsRowFormula>
    </tableColumn>
    <tableColumn id="5" name="April" totalsRowFunction="custom" dataDxfId="950" totalsRowDxfId="949">
      <totalsRowFormula>IFERROR(SUBTOTAL(101,tblTemplate515[April]),"")</totalsRowFormula>
    </tableColumn>
    <tableColumn id="6" name="May" totalsRowFunction="custom" dataDxfId="948" totalsRowDxfId="947">
      <totalsRowFormula>IFERROR(SUBTOTAL(101,tblTemplate515[May]),"")</totalsRowFormula>
    </tableColumn>
    <tableColumn id="7" name="June" totalsRowFunction="custom" dataDxfId="946" totalsRowDxfId="945">
      <totalsRowFormula>IFERROR(SUBTOTAL(101,tblTemplate515[June]),"")</totalsRowFormula>
    </tableColumn>
    <tableColumn id="8" name="July" totalsRowFunction="custom" dataDxfId="944" totalsRowDxfId="943">
      <totalsRowFormula>IFERROR(SUBTOTAL(101,tblTemplate515[July]),"")</totalsRowFormula>
    </tableColumn>
    <tableColumn id="9" name="August" totalsRowFunction="custom" dataDxfId="942" totalsRowDxfId="941">
      <totalsRowFormula>IFERROR(SUBTOTAL(101,tblTemplate515[August]),"")</totalsRowFormula>
    </tableColumn>
    <tableColumn id="10" name="September" totalsRowFunction="custom" dataDxfId="940" totalsRowDxfId="939">
      <totalsRowFormula>IFERROR(SUBTOTAL(101,tblTemplate515[September]),"")</totalsRowFormula>
    </tableColumn>
    <tableColumn id="11" name="October" totalsRowFunction="custom" dataDxfId="938" totalsRowDxfId="937">
      <totalsRowFormula>IFERROR(SUBTOTAL(101,tblTemplate515[October]),"")</totalsRowFormula>
    </tableColumn>
    <tableColumn id="12" name="November" totalsRowFunction="custom" dataDxfId="936" totalsRowDxfId="935">
      <totalsRowFormula>IFERROR(SUBTOTAL(101,tblTemplate515[November]),"")</totalsRowFormula>
    </tableColumn>
    <tableColumn id="13" name="December" totalsRowFunction="custom" dataDxfId="934" totalsRowDxfId="933">
      <totalsRowFormula>IFERROR(SUBTOTAL(101,tblTemplate515[December]),"")</totalsRowFormula>
    </tableColumn>
    <tableColumn id="14" name="Average of Col5" totalsRowFunction="custom" dataDxfId="932" totalsRowDxfId="931">
      <calculatedColumnFormula>IFERROR(AVERAGE(B61:M69),"")</calculatedColumnFormula>
      <totalsRowFormula>IFERROR(SUBTOTAL(101,tblTemplate515[Average of Col5]),"")</totalsRowFormula>
    </tableColumn>
    <tableColumn id="15" name="Trend" dataDxfId="930" totalsRowDxfId="929" dataCellStyle="Comma 2"/>
    <tableColumn id="16" name="Q1" totalsRowFunction="custom" dataDxfId="928" totalsRowDxfId="927">
      <calculatedColumnFormula>IFERROR(AVERAGE(B61:D69),"")</calculatedColumnFormula>
      <totalsRowFormula>IFERROR(SUBTOTAL(101,tblTemplate515[Q1]),"")</totalsRowFormula>
    </tableColumn>
    <tableColumn id="17" name="Q2" totalsRowFunction="custom" dataDxfId="926" totalsRowDxfId="925">
      <calculatedColumnFormula>IFERROR(AVERAGE(E61:G69),"")</calculatedColumnFormula>
      <totalsRowFormula>IFERROR(SUBTOTAL(101,tblTemplate515[Q2]),"")</totalsRowFormula>
    </tableColumn>
    <tableColumn id="18" name="Q3" totalsRowFunction="custom" dataDxfId="924" totalsRowDxfId="923">
      <calculatedColumnFormula>IFERROR(AVERAGE(H61:J69),"")</calculatedColumnFormula>
      <totalsRowFormula>IFERROR(SUBTOTAL(101,tblTemplate515[Q3]),"")</totalsRowFormula>
    </tableColumn>
    <tableColumn id="19" name="Q4" totalsRowFunction="custom" dataDxfId="922" totalsRowDxfId="921">
      <calculatedColumnFormula>IFERROR(AVERAGE(K61:M69),"")</calculatedColumnFormula>
      <totalsRowFormula>IFERROR(SUBTOTAL(101,tblTemplate515[Q4]),"")</totalsRowFormula>
    </tableColumn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blTemplate616" displayName="tblTemplate616" ref="A74:S84" totalsRowCount="1" headerRowDxfId="920" totalsRowDxfId="918" tableBorderDxfId="919" totalsRowBorderDxfId="917">
  <tableColumns count="19">
    <tableColumn id="1" name="Name" totalsRowLabel="Grand Total" totalsRowDxfId="916"/>
    <tableColumn id="2" name="January" totalsRowFunction="custom" dataDxfId="915" totalsRowDxfId="914">
      <totalsRowFormula>IFERROR(SUBTOTAL(101,tblTemplate616[January]),"")</totalsRowFormula>
    </tableColumn>
    <tableColumn id="3" name="February" totalsRowFunction="custom" dataDxfId="913" totalsRowDxfId="912">
      <totalsRowFormula>IFERROR(SUBTOTAL(101,tblTemplate616[February]),"")</totalsRowFormula>
    </tableColumn>
    <tableColumn id="4" name="March" totalsRowFunction="custom" dataDxfId="911" totalsRowDxfId="910">
      <totalsRowFormula>IFERROR(SUBTOTAL(101,tblTemplate616[March]),"")</totalsRowFormula>
    </tableColumn>
    <tableColumn id="5" name="April" totalsRowFunction="custom" dataDxfId="909" totalsRowDxfId="908">
      <totalsRowFormula>IFERROR(SUBTOTAL(101,tblTemplate616[April]),"")</totalsRowFormula>
    </tableColumn>
    <tableColumn id="6" name="May" totalsRowFunction="custom" dataDxfId="907" totalsRowDxfId="906">
      <totalsRowFormula>IFERROR(SUBTOTAL(101,tblTemplate616[May]),"")</totalsRowFormula>
    </tableColumn>
    <tableColumn id="7" name="June" totalsRowFunction="custom" dataDxfId="905" totalsRowDxfId="904">
      <totalsRowFormula>IFERROR(SUBTOTAL(101,tblTemplate616[June]),"")</totalsRowFormula>
    </tableColumn>
    <tableColumn id="8" name="July" totalsRowFunction="custom" dataDxfId="903" totalsRowDxfId="902">
      <totalsRowFormula>IFERROR(SUBTOTAL(101,tblTemplate616[July]),"")</totalsRowFormula>
    </tableColumn>
    <tableColumn id="9" name="August" totalsRowFunction="custom" dataDxfId="901" totalsRowDxfId="900">
      <totalsRowFormula>IFERROR(SUBTOTAL(101,tblTemplate616[August]),"")</totalsRowFormula>
    </tableColumn>
    <tableColumn id="10" name="September" totalsRowFunction="custom" dataDxfId="899" totalsRowDxfId="898">
      <totalsRowFormula>IFERROR(SUBTOTAL(101,tblTemplate616[September]),"")</totalsRowFormula>
    </tableColumn>
    <tableColumn id="11" name="October" totalsRowFunction="custom" dataDxfId="897" totalsRowDxfId="896">
      <totalsRowFormula>IFERROR(SUBTOTAL(101,tblTemplate616[October]),"")</totalsRowFormula>
    </tableColumn>
    <tableColumn id="12" name="November" totalsRowFunction="custom" dataDxfId="895" totalsRowDxfId="894">
      <totalsRowFormula>IFERROR(SUBTOTAL(101,tblTemplate616[November]),"")</totalsRowFormula>
    </tableColumn>
    <tableColumn id="13" name="December" totalsRowFunction="custom" dataDxfId="893" totalsRowDxfId="892">
      <totalsRowFormula>IFERROR(SUBTOTAL(101,tblTemplate616[December]),"")</totalsRowFormula>
    </tableColumn>
    <tableColumn id="14" name="Average of Col6" totalsRowFunction="custom" dataDxfId="891" totalsRowDxfId="890">
      <calculatedColumnFormula>IFERROR(AVERAGE(B75:M83),"")</calculatedColumnFormula>
      <totalsRowFormula>IFERROR(SUBTOTAL(101,tblTemplate616[Average of Col6]),"")</totalsRowFormula>
    </tableColumn>
    <tableColumn id="15" name="Trend" dataDxfId="889" totalsRowDxfId="888" dataCellStyle="Comma 2"/>
    <tableColumn id="16" name="Q1" totalsRowFunction="custom" dataDxfId="887" totalsRowDxfId="886">
      <calculatedColumnFormula>IFERROR(AVERAGE(B75:D83),"")</calculatedColumnFormula>
      <totalsRowFormula>IFERROR(SUBTOTAL(101,tblTemplate616[Q1]),"")</totalsRowFormula>
    </tableColumn>
    <tableColumn id="17" name="Q2" totalsRowFunction="custom" dataDxfId="885" totalsRowDxfId="884">
      <calculatedColumnFormula>IFERROR(AVERAGE(E75:G83),"")</calculatedColumnFormula>
      <totalsRowFormula>IFERROR(SUBTOTAL(101,tblTemplate616[Q2]),"")</totalsRowFormula>
    </tableColumn>
    <tableColumn id="18" name="Q3" totalsRowFunction="custom" dataDxfId="883" totalsRowDxfId="882">
      <calculatedColumnFormula>IFERROR(AVERAGE(H75:J83),"")</calculatedColumnFormula>
      <totalsRowFormula>IFERROR(SUBTOTAL(101,tblTemplate616[Q3]),"")</totalsRowFormula>
    </tableColumn>
    <tableColumn id="19" name="Q4" totalsRowFunction="custom" dataDxfId="881" totalsRowDxfId="880">
      <calculatedColumnFormula>IFERROR(AVERAGE(K75:M83),"")</calculatedColumnFormula>
      <totalsRowFormula>IFERROR(SUBTOTAL(101,tblTemplate616[Q4]),"")</totalsRowFormula>
    </tableColumn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blTemplate717" displayName="tblTemplate717" ref="A88:S98" totalsRowCount="1" headerRowDxfId="879" totalsRowDxfId="877" tableBorderDxfId="878" totalsRowBorderDxfId="876">
  <tableColumns count="19">
    <tableColumn id="1" name="Name" totalsRowLabel="Total" totalsRowDxfId="875"/>
    <tableColumn id="2" name="January" totalsRowFunction="custom" dataDxfId="874" totalsRowDxfId="873">
      <totalsRowFormula>IFERROR(SUBTOTAL(101,tblTemplate717[January]),"")</totalsRowFormula>
    </tableColumn>
    <tableColumn id="3" name="February" totalsRowFunction="custom" dataDxfId="872" totalsRowDxfId="871">
      <totalsRowFormula>IFERROR(SUBTOTAL(101,tblTemplate717[February]),"")</totalsRowFormula>
    </tableColumn>
    <tableColumn id="4" name="March" totalsRowFunction="custom" dataDxfId="870" totalsRowDxfId="869">
      <totalsRowFormula>IFERROR(SUBTOTAL(101,tblTemplate717[March]),"")</totalsRowFormula>
    </tableColumn>
    <tableColumn id="5" name="April" totalsRowFunction="custom" dataDxfId="868" totalsRowDxfId="867">
      <totalsRowFormula>IFERROR(SUBTOTAL(101,tblTemplate717[April]),"")</totalsRowFormula>
    </tableColumn>
    <tableColumn id="6" name="May" totalsRowFunction="custom" dataDxfId="866" totalsRowDxfId="865">
      <totalsRowFormula>IFERROR(SUBTOTAL(101,tblTemplate717[May]),"")</totalsRowFormula>
    </tableColumn>
    <tableColumn id="7" name="June" totalsRowFunction="custom" dataDxfId="864" totalsRowDxfId="863">
      <totalsRowFormula>IFERROR(SUBTOTAL(101,tblTemplate717[June]),"")</totalsRowFormula>
    </tableColumn>
    <tableColumn id="8" name="July" totalsRowFunction="custom" dataDxfId="862" totalsRowDxfId="861">
      <totalsRowFormula>IFERROR(SUBTOTAL(101,tblTemplate717[July]),"")</totalsRowFormula>
    </tableColumn>
    <tableColumn id="9" name="August" totalsRowFunction="custom" dataDxfId="860" totalsRowDxfId="859">
      <totalsRowFormula>IFERROR(SUBTOTAL(101,tblTemplate717[August]),"")</totalsRowFormula>
    </tableColumn>
    <tableColumn id="10" name="September" totalsRowFunction="custom" dataDxfId="858" totalsRowDxfId="857">
      <totalsRowFormula>IFERROR(SUBTOTAL(101,tblTemplate717[September]),"")</totalsRowFormula>
    </tableColumn>
    <tableColumn id="11" name="October" totalsRowFunction="custom" dataDxfId="856" totalsRowDxfId="855">
      <totalsRowFormula>IFERROR(SUBTOTAL(101,tblTemplate717[October]),"")</totalsRowFormula>
    </tableColumn>
    <tableColumn id="12" name="November" totalsRowFunction="custom" dataDxfId="854" totalsRowDxfId="853">
      <totalsRowFormula>IFERROR(SUBTOTAL(101,tblTemplate717[November]),"")</totalsRowFormula>
    </tableColumn>
    <tableColumn id="13" name="December" totalsRowFunction="custom" dataDxfId="852" totalsRowDxfId="851">
      <totalsRowFormula>IFERROR(SUBTOTAL(101,tblTemplate717[December]),"")</totalsRowFormula>
    </tableColumn>
    <tableColumn id="14" name="Average of Col7" totalsRowFunction="custom" dataDxfId="850" totalsRowDxfId="849">
      <calculatedColumnFormula>IFERROR(AVERAGE(B89:M97),"")</calculatedColumnFormula>
      <totalsRowFormula>IFERROR(SUBTOTAL(101,tblTemplate717[Average of Col7]),"")</totalsRowFormula>
    </tableColumn>
    <tableColumn id="15" name="Trend" dataDxfId="848" totalsRowDxfId="847" dataCellStyle="Comma 2"/>
    <tableColumn id="16" name="Q1" totalsRowFunction="custom" dataDxfId="846" totalsRowDxfId="845">
      <calculatedColumnFormula>IFERROR(AVERAGE(B89:D97),"")</calculatedColumnFormula>
      <totalsRowFormula>IFERROR(SUBTOTAL(101,tblTemplate717[Q1]),"")</totalsRowFormula>
    </tableColumn>
    <tableColumn id="17" name="Q2" totalsRowFunction="custom" dataDxfId="844" totalsRowDxfId="843">
      <calculatedColumnFormula>IFERROR(AVERAGE(E89:G97),"")</calculatedColumnFormula>
      <totalsRowFormula>IFERROR(SUBTOTAL(101,tblTemplate717[Q2]),"")</totalsRowFormula>
    </tableColumn>
    <tableColumn id="18" name="Q3" totalsRowFunction="custom" dataDxfId="842" totalsRowDxfId="841">
      <calculatedColumnFormula>IFERROR(AVERAGE(H89:J97),"")</calculatedColumnFormula>
      <totalsRowFormula>IFERROR(SUBTOTAL(101,tblTemplate717[Q3]),"")</totalsRowFormula>
    </tableColumn>
    <tableColumn id="19" name="Q4" totalsRowFunction="custom" dataDxfId="840" totalsRowDxfId="839">
      <calculatedColumnFormula>IFERROR(AVERAGE(K89:M97),"")</calculatedColumnFormula>
      <totalsRowFormula>IFERROR(SUBTOTAL(101,tblTemplate717[Q4]),"")</totalsRowFormula>
    </tableColumn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blTemplate818" displayName="tblTemplate818" ref="A102:S112" totalsRowCount="1" headerRowDxfId="838" totalsRowDxfId="836" tableBorderDxfId="837" totalsRowBorderDxfId="835">
  <tableColumns count="19">
    <tableColumn id="1" name="Name" totalsRowLabel="Grand Total" totalsRowDxfId="834"/>
    <tableColumn id="2" name="January" totalsRowFunction="custom" dataDxfId="833" totalsRowDxfId="832">
      <totalsRowFormula>IFERROR(SUBTOTAL(101,tblTemplate818[January]),"")</totalsRowFormula>
    </tableColumn>
    <tableColumn id="3" name="February" totalsRowFunction="custom" dataDxfId="831" totalsRowDxfId="830">
      <totalsRowFormula>IFERROR(SUBTOTAL(101,tblTemplate818[February]),"")</totalsRowFormula>
    </tableColumn>
    <tableColumn id="4" name="March" totalsRowFunction="custom" dataDxfId="829" totalsRowDxfId="828">
      <totalsRowFormula>IFERROR(SUBTOTAL(101,tblTemplate818[March]),"")</totalsRowFormula>
    </tableColumn>
    <tableColumn id="5" name="April" totalsRowFunction="custom" dataDxfId="827" totalsRowDxfId="826">
      <totalsRowFormula>IFERROR(SUBTOTAL(101,tblTemplate818[April]),"")</totalsRowFormula>
    </tableColumn>
    <tableColumn id="6" name="May" totalsRowFunction="custom" dataDxfId="825" totalsRowDxfId="824">
      <totalsRowFormula>IFERROR(SUBTOTAL(101,tblTemplate818[May]),"")</totalsRowFormula>
    </tableColumn>
    <tableColumn id="7" name="June" totalsRowFunction="custom" dataDxfId="823" totalsRowDxfId="822">
      <totalsRowFormula>IFERROR(SUBTOTAL(101,tblTemplate818[June]),"")</totalsRowFormula>
    </tableColumn>
    <tableColumn id="8" name="July" totalsRowFunction="custom" dataDxfId="821" totalsRowDxfId="820">
      <totalsRowFormula>IFERROR(SUBTOTAL(101,tblTemplate818[July]),"")</totalsRowFormula>
    </tableColumn>
    <tableColumn id="9" name="August" totalsRowFunction="custom" dataDxfId="819" totalsRowDxfId="818">
      <totalsRowFormula>IFERROR(SUBTOTAL(101,tblTemplate818[August]),"")</totalsRowFormula>
    </tableColumn>
    <tableColumn id="10" name="September" totalsRowFunction="custom" dataDxfId="817" totalsRowDxfId="816">
      <totalsRowFormula>IFERROR(SUBTOTAL(101,tblTemplate818[September]),"")</totalsRowFormula>
    </tableColumn>
    <tableColumn id="11" name="October" totalsRowFunction="custom" dataDxfId="815" totalsRowDxfId="814">
      <totalsRowFormula>IFERROR(SUBTOTAL(101,tblTemplate818[October]),"")</totalsRowFormula>
    </tableColumn>
    <tableColumn id="12" name="November" totalsRowFunction="custom" dataDxfId="813" totalsRowDxfId="812">
      <totalsRowFormula>IFERROR(SUBTOTAL(101,tblTemplate818[November]),"")</totalsRowFormula>
    </tableColumn>
    <tableColumn id="13" name="December" totalsRowFunction="custom" dataDxfId="811" totalsRowDxfId="810">
      <totalsRowFormula>IFERROR(SUBTOTAL(101,tblTemplate818[December]),"")</totalsRowFormula>
    </tableColumn>
    <tableColumn id="14" name="Average of Col8" totalsRowFunction="custom" dataDxfId="809" totalsRowDxfId="808">
      <calculatedColumnFormula>IFERROR(AVERAGE(B103:M111),"")</calculatedColumnFormula>
      <totalsRowFormula>IFERROR(SUBTOTAL(101,tblTemplate818[Average of Col8]),"")</totalsRowFormula>
    </tableColumn>
    <tableColumn id="15" name="Trend" dataDxfId="807" totalsRowDxfId="806" dataCellStyle="Comma 2"/>
    <tableColumn id="16" name="Q1" totalsRowFunction="custom" dataDxfId="805" totalsRowDxfId="804">
      <calculatedColumnFormula>IFERROR(AVERAGE(B103:D111),"")</calculatedColumnFormula>
      <totalsRowFormula>IFERROR(SUBTOTAL(101,tblTemplate818[Q1]),"")</totalsRowFormula>
    </tableColumn>
    <tableColumn id="17" name="Q2" totalsRowFunction="custom" dataDxfId="803" totalsRowDxfId="802">
      <calculatedColumnFormula>IFERROR(AVERAGE(E103:G111),"")</calculatedColumnFormula>
      <totalsRowFormula>IFERROR(SUBTOTAL(101,tblTemplate818[Q2]),"")</totalsRowFormula>
    </tableColumn>
    <tableColumn id="18" name="Q3" totalsRowFunction="custom" dataDxfId="801" totalsRowDxfId="800">
      <calculatedColumnFormula>IFERROR(AVERAGE(H103:J111),"")</calculatedColumnFormula>
      <totalsRowFormula>IFERROR(SUBTOTAL(101,tblTemplate818[Q3]),"")</totalsRowFormula>
    </tableColumn>
    <tableColumn id="19" name="Q4" totalsRowFunction="custom" dataDxfId="799" totalsRowDxfId="798">
      <calculatedColumnFormula>IFERROR(AVERAGE(K103:M111),"")</calculatedColumnFormula>
      <totalsRowFormula>IFERROR(SUBTOTAL(101,tblTemplate818[Q4]),"")</totalsRowFormula>
    </tableColumn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blTemplate919" displayName="tblTemplate919" ref="A116:S126" totalsRowCount="1" headerRowDxfId="797" totalsRowDxfId="795" tableBorderDxfId="796" totalsRowBorderDxfId="794">
  <tableColumns count="19">
    <tableColumn id="1" name="Name" totalsRowLabel="Grand Total" totalsRowDxfId="793"/>
    <tableColumn id="2" name="January" totalsRowFunction="custom" dataDxfId="792" totalsRowDxfId="791">
      <totalsRowFormula>IFERROR(SUBTOTAL(101,tblTemplate919[January]),"")</totalsRowFormula>
    </tableColumn>
    <tableColumn id="3" name="February" totalsRowFunction="custom" dataDxfId="790" totalsRowDxfId="789">
      <totalsRowFormula>IFERROR(SUBTOTAL(101,tblTemplate919[February]),"")</totalsRowFormula>
    </tableColumn>
    <tableColumn id="4" name="March" totalsRowFunction="custom" dataDxfId="788" totalsRowDxfId="787">
      <totalsRowFormula>IFERROR(SUBTOTAL(101,tblTemplate919[March]),"")</totalsRowFormula>
    </tableColumn>
    <tableColumn id="5" name="April" totalsRowFunction="custom" dataDxfId="786" totalsRowDxfId="785">
      <totalsRowFormula>IFERROR(SUBTOTAL(101,tblTemplate919[April]),"")</totalsRowFormula>
    </tableColumn>
    <tableColumn id="6" name="May" totalsRowFunction="custom" dataDxfId="784" totalsRowDxfId="783">
      <totalsRowFormula>IFERROR(SUBTOTAL(101,tblTemplate919[May]),"")</totalsRowFormula>
    </tableColumn>
    <tableColumn id="7" name="June" totalsRowFunction="custom" dataDxfId="782" totalsRowDxfId="781">
      <totalsRowFormula>IFERROR(SUBTOTAL(101,tblTemplate919[June]),"")</totalsRowFormula>
    </tableColumn>
    <tableColumn id="8" name="July" totalsRowFunction="custom" dataDxfId="780" totalsRowDxfId="779">
      <totalsRowFormula>IFERROR(SUBTOTAL(101,tblTemplate919[July]),"")</totalsRowFormula>
    </tableColumn>
    <tableColumn id="9" name="August" totalsRowFunction="custom" dataDxfId="778" totalsRowDxfId="777">
      <totalsRowFormula>IFERROR(SUBTOTAL(101,tblTemplate919[August]),"")</totalsRowFormula>
    </tableColumn>
    <tableColumn id="10" name="September" totalsRowFunction="custom" dataDxfId="776" totalsRowDxfId="775">
      <totalsRowFormula>IFERROR(SUBTOTAL(101,tblTemplate919[September]),"")</totalsRowFormula>
    </tableColumn>
    <tableColumn id="11" name="October" totalsRowFunction="custom" dataDxfId="774" totalsRowDxfId="773">
      <totalsRowFormula>IFERROR(SUBTOTAL(101,tblTemplate919[October]),"")</totalsRowFormula>
    </tableColumn>
    <tableColumn id="12" name="November" totalsRowFunction="custom" dataDxfId="772" totalsRowDxfId="771">
      <totalsRowFormula>IFERROR(SUBTOTAL(101,tblTemplate919[November]),"")</totalsRowFormula>
    </tableColumn>
    <tableColumn id="13" name="December" totalsRowFunction="custom" dataDxfId="770" totalsRowDxfId="769">
      <totalsRowFormula>IFERROR(SUBTOTAL(101,tblTemplate919[December]),"")</totalsRowFormula>
    </tableColumn>
    <tableColumn id="14" name="Average of Col9" totalsRowFunction="custom" dataDxfId="768" totalsRowDxfId="767">
      <calculatedColumnFormula>IFERROR(AVERAGE(B117:M125),"")</calculatedColumnFormula>
      <totalsRowFormula>IFERROR(SUBTOTAL(101,tblTemplate919[Average of Col9]),"")</totalsRowFormula>
    </tableColumn>
    <tableColumn id="15" name="Trend" dataDxfId="766" totalsRowDxfId="765" dataCellStyle="Comma 2"/>
    <tableColumn id="16" name="Q1" totalsRowFunction="custom" dataDxfId="764" totalsRowDxfId="763">
      <calculatedColumnFormula>IFERROR(AVERAGE(B117:D125),"")</calculatedColumnFormula>
      <totalsRowFormula>IFERROR(SUBTOTAL(101,tblTemplate919[Q1]),"")</totalsRowFormula>
    </tableColumn>
    <tableColumn id="17" name="Q2" totalsRowFunction="custom" dataDxfId="762" totalsRowDxfId="761">
      <calculatedColumnFormula>IFERROR(AVERAGE(E117:G125),"")</calculatedColumnFormula>
      <totalsRowFormula>IFERROR(SUBTOTAL(101,tblTemplate919[Q2]),"")</totalsRowFormula>
    </tableColumn>
    <tableColumn id="18" name="Q3" totalsRowFunction="custom" dataDxfId="760" totalsRowDxfId="759">
      <calculatedColumnFormula>IFERROR(AVERAGE(H117:J125),"")</calculatedColumnFormula>
      <totalsRowFormula>IFERROR(SUBTOTAL(101,tblTemplate919[Q3]),"")</totalsRowFormula>
    </tableColumn>
    <tableColumn id="19" name="Q4" totalsRowFunction="custom" dataDxfId="758" totalsRowDxfId="757">
      <calculatedColumnFormula>IFERROR(AVERAGE(K117:M125),"")</calculatedColumnFormula>
      <totalsRowFormula>IFERROR(SUBTOTAL(101,tblTemplate919[Q4]),"")</totalsRowFormula>
    </tableColumn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blTemplate120" displayName="tblTemplate120" ref="A4:S15" totalsRowCount="1" headerRowDxfId="756" totalsRowDxfId="754" tableBorderDxfId="755" totalsRowBorderDxfId="753">
  <tableColumns count="19">
    <tableColumn id="1" name="Name" totalsRowLabel="Grand Total" totalsRowDxfId="752"/>
    <tableColumn id="2" name="January" totalsRowFunction="custom" dataDxfId="751" totalsRowDxfId="750">
      <totalsRowFormula>IFERROR(SUBTOTAL(101,tblTemplate120[January]),"")</totalsRowFormula>
    </tableColumn>
    <tableColumn id="3" name="February" totalsRowFunction="custom" dataDxfId="749" totalsRowDxfId="748">
      <totalsRowFormula>IFERROR(SUBTOTAL(101,tblTemplate120[February]),"")</totalsRowFormula>
    </tableColumn>
    <tableColumn id="4" name="March" totalsRowFunction="custom" dataDxfId="747" totalsRowDxfId="746">
      <totalsRowFormula>IFERROR(SUBTOTAL(101,tblTemplate120[March]),"")</totalsRowFormula>
    </tableColumn>
    <tableColumn id="5" name="April" totalsRowFunction="custom" dataDxfId="745" totalsRowDxfId="744">
      <totalsRowFormula>IFERROR(SUBTOTAL(101,tblTemplate120[April]),"")</totalsRowFormula>
    </tableColumn>
    <tableColumn id="6" name="May" totalsRowFunction="custom" dataDxfId="743" totalsRowDxfId="742">
      <totalsRowFormula>IFERROR(SUBTOTAL(101,tblTemplate120[May]),"")</totalsRowFormula>
    </tableColumn>
    <tableColumn id="7" name="June" totalsRowFunction="custom" dataDxfId="741" totalsRowDxfId="740">
      <totalsRowFormula>IFERROR(SUBTOTAL(101,tblTemplate120[June]),"")</totalsRowFormula>
    </tableColumn>
    <tableColumn id="8" name="July" totalsRowFunction="custom" dataDxfId="739" totalsRowDxfId="738">
      <totalsRowFormula>IFERROR(SUBTOTAL(101,tblTemplate120[July]),"")</totalsRowFormula>
    </tableColumn>
    <tableColumn id="9" name="August" totalsRowFunction="custom" dataDxfId="737" totalsRowDxfId="736">
      <totalsRowFormula>IFERROR(SUBTOTAL(101,tblTemplate120[August]),"")</totalsRowFormula>
    </tableColumn>
    <tableColumn id="10" name="September" totalsRowFunction="custom" dataDxfId="735" totalsRowDxfId="734">
      <totalsRowFormula>IFERROR(SUBTOTAL(101,tblTemplate120[September]),"")</totalsRowFormula>
    </tableColumn>
    <tableColumn id="11" name="October" totalsRowFunction="custom" dataDxfId="733" totalsRowDxfId="732">
      <totalsRowFormula>IFERROR(SUBTOTAL(101,tblTemplate120[October]),"")</totalsRowFormula>
    </tableColumn>
    <tableColumn id="12" name="November" totalsRowFunction="custom" dataDxfId="731" totalsRowDxfId="730">
      <totalsRowFormula>IFERROR(SUBTOTAL(101,tblTemplate120[November]),"")</totalsRowFormula>
    </tableColumn>
    <tableColumn id="13" name="December" totalsRowFunction="custom" dataDxfId="729" totalsRowDxfId="728">
      <totalsRowFormula>IFERROR(SUBTOTAL(101,tblTemplate120[December]),"")</totalsRowFormula>
    </tableColumn>
    <tableColumn id="14" name="Average of Col1" totalsRowFunction="custom" dataDxfId="727" totalsRowDxfId="726">
      <calculatedColumnFormula>IFERROR(AVERAGE(B5:M14),"")</calculatedColumnFormula>
      <totalsRowFormula>IFERROR(SUBTOTAL(101,tblTemplate120[Average of Col1]),"")</totalsRowFormula>
    </tableColumn>
    <tableColumn id="15" name="Trend" dataDxfId="725" totalsRowDxfId="724" dataCellStyle="Comma 2"/>
    <tableColumn id="16" name="Q1" totalsRowFunction="custom" dataDxfId="723" totalsRowDxfId="722">
      <calculatedColumnFormula>IFERROR(AVERAGE(B5:D14),"")</calculatedColumnFormula>
      <totalsRowFormula>IFERROR(SUBTOTAL(101,tblTemplate120[Q1]),"")</totalsRowFormula>
    </tableColumn>
    <tableColumn id="17" name="Q2" totalsRowFunction="custom" dataDxfId="721" totalsRowDxfId="720">
      <calculatedColumnFormula>IFERROR(AVERAGE(E5:G14),"")</calculatedColumnFormula>
      <totalsRowFormula>IFERROR(SUBTOTAL(101,tblTemplate120[Q2]),"")</totalsRowFormula>
    </tableColumn>
    <tableColumn id="18" name="Q3" totalsRowFunction="custom" dataDxfId="719" totalsRowDxfId="718">
      <calculatedColumnFormula>IFERROR(AVERAGE(H5:J14),"")</calculatedColumnFormula>
      <totalsRowFormula>IFERROR(SUBTOTAL(101,tblTemplate120[Q3]),"")</totalsRowFormula>
    </tableColumn>
    <tableColumn id="19" name="Q4" totalsRowFunction="custom" dataDxfId="717" totalsRowDxfId="716">
      <calculatedColumnFormula>IFERROR(AVERAGE(K5:M14),"")</calculatedColumnFormula>
      <totalsRowFormula>IFERROR(SUBTOTAL(101,tblTemplate120[Q4]),"")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blTemplate2" displayName="tblTemplate2" ref="A10:S12" totalsRowCount="1" headerRowDxfId="1434" totalsRowDxfId="1432" tableBorderDxfId="1433" totalsRowBorderDxfId="1431">
  <tableColumns count="19">
    <tableColumn id="1" name="Name" totalsRowLabel="Grand Total" totalsRowDxfId="1430"/>
    <tableColumn id="2" name="January" totalsRowFunction="custom" dataDxfId="1429" totalsRowDxfId="1428">
      <totalsRowFormula>IFERROR(SUBTOTAL(101,tblTemplate2[January]),"")</totalsRowFormula>
    </tableColumn>
    <tableColumn id="3" name="February" totalsRowFunction="custom" dataDxfId="1427" totalsRowDxfId="1426">
      <totalsRowFormula>IFERROR(SUBTOTAL(101,tblTemplate2[February]),"")</totalsRowFormula>
    </tableColumn>
    <tableColumn id="4" name="March" totalsRowFunction="custom" dataDxfId="1425" totalsRowDxfId="1424">
      <totalsRowFormula>IFERROR(SUBTOTAL(101,tblTemplate2[March]),"")</totalsRowFormula>
    </tableColumn>
    <tableColumn id="5" name="April" totalsRowFunction="custom" dataDxfId="1423" totalsRowDxfId="1422">
      <totalsRowFormula>IFERROR(SUBTOTAL(101,tblTemplate2[April]),"")</totalsRowFormula>
    </tableColumn>
    <tableColumn id="6" name="May" totalsRowFunction="custom" dataDxfId="1421" totalsRowDxfId="1420">
      <totalsRowFormula>IFERROR(SUBTOTAL(101,tblTemplate2[May]),"")</totalsRowFormula>
    </tableColumn>
    <tableColumn id="7" name="June" totalsRowFunction="custom" dataDxfId="1419" totalsRowDxfId="1418">
      <totalsRowFormula>IFERROR(SUBTOTAL(101,tblTemplate2[June]),"")</totalsRowFormula>
    </tableColumn>
    <tableColumn id="8" name="July" totalsRowFunction="custom" dataDxfId="1417" totalsRowDxfId="1416">
      <totalsRowFormula>IFERROR(SUBTOTAL(101,tblTemplate2[July]),"")</totalsRowFormula>
    </tableColumn>
    <tableColumn id="9" name="August" totalsRowFunction="custom" dataDxfId="1415" totalsRowDxfId="1414">
      <totalsRowFormula>IFERROR(SUBTOTAL(101,tblTemplate2[August]),"")</totalsRowFormula>
    </tableColumn>
    <tableColumn id="10" name="September" totalsRowFunction="custom" dataDxfId="1413" totalsRowDxfId="1412">
      <totalsRowFormula>IFERROR(SUBTOTAL(101,tblTemplate2[September]),"")</totalsRowFormula>
    </tableColumn>
    <tableColumn id="11" name="October" totalsRowFunction="custom" dataDxfId="1411" totalsRowDxfId="1410">
      <totalsRowFormula>IFERROR(SUBTOTAL(101,tblTemplate2[October]),"")</totalsRowFormula>
    </tableColumn>
    <tableColumn id="12" name="November" totalsRowFunction="custom" dataDxfId="1409" totalsRowDxfId="1408">
      <totalsRowFormula>IFERROR(SUBTOTAL(101,tblTemplate2[November]),"")</totalsRowFormula>
    </tableColumn>
    <tableColumn id="13" name="December" totalsRowFunction="custom" dataDxfId="1407" totalsRowDxfId="1406">
      <totalsRowFormula>IFERROR(SUBTOTAL(101,tblTemplate2[December]),"")</totalsRowFormula>
    </tableColumn>
    <tableColumn id="14" name="December2" totalsRowFunction="custom" dataDxfId="1405" totalsRowDxfId="1404">
      <calculatedColumnFormula>IFERROR(AVERAGE(B11:M11),"")</calculatedColumnFormula>
      <totalsRowFormula>IFERROR(SUBTOTAL(101,tblTemplate2[December2]),"")</totalsRowFormula>
    </tableColumn>
    <tableColumn id="15" name="Trend" dataDxfId="1403" totalsRowDxfId="1402" dataCellStyle="Comma 2"/>
    <tableColumn id="16" name="Q1" totalsRowFunction="custom" dataDxfId="1401" totalsRowDxfId="1400">
      <calculatedColumnFormula>IFERROR(AVERAGE(B11:D11),"")</calculatedColumnFormula>
      <totalsRowFormula>IFERROR(SUBTOTAL(101,tblTemplate2[Q1]),"")</totalsRowFormula>
    </tableColumn>
    <tableColumn id="17" name="Q2" totalsRowFunction="custom" dataDxfId="1399" totalsRowDxfId="1398">
      <calculatedColumnFormula>IFERROR(AVERAGE(E11:G11),"")</calculatedColumnFormula>
      <totalsRowFormula>IFERROR(SUBTOTAL(101,tblTemplate2[Q2]),"")</totalsRowFormula>
    </tableColumn>
    <tableColumn id="18" name="Q3" totalsRowFunction="custom" dataDxfId="1397" totalsRowDxfId="1396">
      <calculatedColumnFormula>IFERROR(AVERAGE(H11:J11),"")</calculatedColumnFormula>
      <totalsRowFormula>IFERROR(SUBTOTAL(101,tblTemplate2[Q3]),"")</totalsRowFormula>
    </tableColumn>
    <tableColumn id="19" name="Q4" totalsRowFunction="custom" dataDxfId="1395" totalsRowDxfId="1394">
      <calculatedColumnFormula>IFERROR(AVERAGE(K11:M11),"")</calculatedColumnFormula>
      <totalsRowFormula>IFERROR(SUBTOTAL(101,tblTemplate2[Q4]),"")</totalsRowFormula>
    </tableColumn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blTemplate221" displayName="tblTemplate221" ref="A19:S30" totalsRowCount="1" headerRowDxfId="715" totalsRowDxfId="713" tableBorderDxfId="714" totalsRowBorderDxfId="712">
  <tableColumns count="19">
    <tableColumn id="1" name="Name" totalsRowLabel="Grand Total" totalsRowDxfId="711"/>
    <tableColumn id="2" name="January" totalsRowFunction="custom" dataDxfId="710" totalsRowDxfId="709">
      <totalsRowFormula>IFERROR(SUBTOTAL(101,tblTemplate221[January]),"")</totalsRowFormula>
    </tableColumn>
    <tableColumn id="3" name="February" totalsRowFunction="custom" dataDxfId="708" totalsRowDxfId="707">
      <totalsRowFormula>IFERROR(SUBTOTAL(101,tblTemplate221[February]),"")</totalsRowFormula>
    </tableColumn>
    <tableColumn id="4" name="March" totalsRowFunction="custom" dataDxfId="706" totalsRowDxfId="705">
      <totalsRowFormula>IFERROR(SUBTOTAL(101,tblTemplate221[March]),"")</totalsRowFormula>
    </tableColumn>
    <tableColumn id="5" name="April" totalsRowFunction="custom" dataDxfId="704" totalsRowDxfId="703">
      <totalsRowFormula>IFERROR(SUBTOTAL(101,tblTemplate221[April]),"")</totalsRowFormula>
    </tableColumn>
    <tableColumn id="6" name="May" totalsRowFunction="custom" dataDxfId="702" totalsRowDxfId="701">
      <totalsRowFormula>IFERROR(SUBTOTAL(101,tblTemplate221[May]),"")</totalsRowFormula>
    </tableColumn>
    <tableColumn id="7" name="June" totalsRowFunction="custom" dataDxfId="700" totalsRowDxfId="699">
      <totalsRowFormula>IFERROR(SUBTOTAL(101,tblTemplate221[June]),"")</totalsRowFormula>
    </tableColumn>
    <tableColumn id="8" name="July" totalsRowFunction="custom" dataDxfId="698" totalsRowDxfId="697">
      <totalsRowFormula>IFERROR(SUBTOTAL(101,tblTemplate221[July]),"")</totalsRowFormula>
    </tableColumn>
    <tableColumn id="9" name="August" totalsRowFunction="custom" dataDxfId="696" totalsRowDxfId="695">
      <totalsRowFormula>IFERROR(SUBTOTAL(101,tblTemplate221[August]),"")</totalsRowFormula>
    </tableColumn>
    <tableColumn id="10" name="September" totalsRowFunction="custom" dataDxfId="694" totalsRowDxfId="693">
      <totalsRowFormula>IFERROR(SUBTOTAL(101,tblTemplate221[September]),"")</totalsRowFormula>
    </tableColumn>
    <tableColumn id="11" name="October" totalsRowFunction="custom" dataDxfId="692" totalsRowDxfId="691">
      <totalsRowFormula>IFERROR(SUBTOTAL(101,tblTemplate221[October]),"")</totalsRowFormula>
    </tableColumn>
    <tableColumn id="12" name="November" totalsRowFunction="custom" dataDxfId="690" totalsRowDxfId="689">
      <totalsRowFormula>IFERROR(SUBTOTAL(101,tblTemplate221[November]),"")</totalsRowFormula>
    </tableColumn>
    <tableColumn id="13" name="December" totalsRowFunction="custom" dataDxfId="688" totalsRowDxfId="687">
      <totalsRowFormula>IFERROR(SUBTOTAL(101,tblTemplate221[December]),"")</totalsRowFormula>
    </tableColumn>
    <tableColumn id="14" name="Average of Col2" totalsRowFunction="custom" dataDxfId="686" totalsRowDxfId="685">
      <calculatedColumnFormula>IFERROR(AVERAGE(B20:M29),"")</calculatedColumnFormula>
      <totalsRowFormula>IFERROR(SUBTOTAL(101,tblTemplate221[Average of Col2]),"")</totalsRowFormula>
    </tableColumn>
    <tableColumn id="15" name="Trend" dataDxfId="684" totalsRowDxfId="683" dataCellStyle="Comma 2"/>
    <tableColumn id="16" name="Q1" totalsRowFunction="custom" dataDxfId="682" totalsRowDxfId="681">
      <calculatedColumnFormula>IFERROR(AVERAGE(B20:D29),"")</calculatedColumnFormula>
      <totalsRowFormula>IFERROR(SUBTOTAL(101,tblTemplate221[Q1]),"")</totalsRowFormula>
    </tableColumn>
    <tableColumn id="17" name="Q2" totalsRowFunction="custom" dataDxfId="680" totalsRowDxfId="679">
      <calculatedColumnFormula>IFERROR(AVERAGE(E20:G29),"")</calculatedColumnFormula>
      <totalsRowFormula>IFERROR(SUBTOTAL(101,tblTemplate221[Q2]),"")</totalsRowFormula>
    </tableColumn>
    <tableColumn id="18" name="Q3" totalsRowFunction="custom" dataDxfId="678" totalsRowDxfId="677">
      <calculatedColumnFormula>IFERROR(AVERAGE(H20:J29),"")</calculatedColumnFormula>
      <totalsRowFormula>IFERROR(SUBTOTAL(101,tblTemplate221[Q3]),"")</totalsRowFormula>
    </tableColumn>
    <tableColumn id="19" name="Q4" totalsRowFunction="custom" dataDxfId="676" totalsRowDxfId="675">
      <calculatedColumnFormula>IFERROR(AVERAGE(K20:M29),"")</calculatedColumnFormula>
      <totalsRowFormula>IFERROR(SUBTOTAL(101,tblTemplate221[Q4]),"")</totalsRowFormula>
    </tableColumn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tblTemplate322" displayName="tblTemplate322" ref="A34:S45" totalsRowCount="1" headerRowDxfId="674" totalsRowDxfId="672" tableBorderDxfId="673" totalsRowBorderDxfId="671">
  <tableColumns count="19">
    <tableColumn id="1" name="Name" totalsRowLabel="Grand Total" totalsRowDxfId="670"/>
    <tableColumn id="2" name="January" totalsRowFunction="custom" dataDxfId="669" totalsRowDxfId="668">
      <totalsRowFormula>IFERROR(SUBTOTAL(101,tblTemplate322[January]),"")</totalsRowFormula>
    </tableColumn>
    <tableColumn id="3" name="February" totalsRowFunction="custom" dataDxfId="667" totalsRowDxfId="666">
      <totalsRowFormula>IFERROR(SUBTOTAL(101,tblTemplate322[February]),"")</totalsRowFormula>
    </tableColumn>
    <tableColumn id="4" name="March" totalsRowFunction="custom" dataDxfId="665" totalsRowDxfId="664">
      <totalsRowFormula>IFERROR(SUBTOTAL(101,tblTemplate322[March]),"")</totalsRowFormula>
    </tableColumn>
    <tableColumn id="5" name="April" totalsRowFunction="custom" dataDxfId="663" totalsRowDxfId="662">
      <totalsRowFormula>IFERROR(SUBTOTAL(101,tblTemplate322[April]),"")</totalsRowFormula>
    </tableColumn>
    <tableColumn id="6" name="May" totalsRowFunction="custom" dataDxfId="661" totalsRowDxfId="660">
      <totalsRowFormula>IFERROR(SUBTOTAL(101,tblTemplate322[May]),"")</totalsRowFormula>
    </tableColumn>
    <tableColumn id="7" name="June" totalsRowFunction="custom" dataDxfId="659" totalsRowDxfId="658">
      <totalsRowFormula>IFERROR(SUBTOTAL(101,tblTemplate322[June]),"")</totalsRowFormula>
    </tableColumn>
    <tableColumn id="8" name="July" totalsRowFunction="custom" dataDxfId="657" totalsRowDxfId="656">
      <totalsRowFormula>IFERROR(SUBTOTAL(101,tblTemplate322[July]),"")</totalsRowFormula>
    </tableColumn>
    <tableColumn id="9" name="August" totalsRowFunction="custom" dataDxfId="655" totalsRowDxfId="654">
      <totalsRowFormula>IFERROR(SUBTOTAL(101,tblTemplate322[August]),"")</totalsRowFormula>
    </tableColumn>
    <tableColumn id="10" name="September" totalsRowFunction="custom" dataDxfId="653" totalsRowDxfId="652">
      <totalsRowFormula>IFERROR(SUBTOTAL(101,tblTemplate322[September]),"")</totalsRowFormula>
    </tableColumn>
    <tableColumn id="11" name="October" totalsRowFunction="custom" dataDxfId="651" totalsRowDxfId="650">
      <totalsRowFormula>IFERROR(SUBTOTAL(101,tblTemplate322[October]),"")</totalsRowFormula>
    </tableColumn>
    <tableColumn id="12" name="November" totalsRowFunction="custom" dataDxfId="649" totalsRowDxfId="648">
      <totalsRowFormula>IFERROR(SUBTOTAL(101,tblTemplate322[November]),"")</totalsRowFormula>
    </tableColumn>
    <tableColumn id="13" name="December" totalsRowFunction="custom" dataDxfId="647" totalsRowDxfId="646">
      <totalsRowFormula>IFERROR(SUBTOTAL(101,tblTemplate322[December]),"")</totalsRowFormula>
    </tableColumn>
    <tableColumn id="14" name="Average of Col3" totalsRowFunction="custom" dataDxfId="645" totalsRowDxfId="644">
      <calculatedColumnFormula>IFERROR(AVERAGE(B35:M44),"")</calculatedColumnFormula>
      <totalsRowFormula>IFERROR(SUBTOTAL(101,tblTemplate322[Average of Col3]),"")</totalsRowFormula>
    </tableColumn>
    <tableColumn id="15" name="Trend" dataDxfId="643" totalsRowDxfId="642" dataCellStyle="Comma 2"/>
    <tableColumn id="16" name="Q1" totalsRowFunction="custom" dataDxfId="641" totalsRowDxfId="640">
      <calculatedColumnFormula>IFERROR(AVERAGE(B35:D44),"")</calculatedColumnFormula>
      <totalsRowFormula>IFERROR(SUBTOTAL(101,tblTemplate322[Q1]),"")</totalsRowFormula>
    </tableColumn>
    <tableColumn id="17" name="Q2" totalsRowFunction="custom" dataDxfId="639" totalsRowDxfId="638">
      <calculatedColumnFormula>IFERROR(AVERAGE(E35:G44),"")</calculatedColumnFormula>
      <totalsRowFormula>IFERROR(SUBTOTAL(101,tblTemplate322[Q2]),"")</totalsRowFormula>
    </tableColumn>
    <tableColumn id="18" name="Q3" totalsRowFunction="custom" dataDxfId="637" totalsRowDxfId="636">
      <calculatedColumnFormula>IFERROR(AVERAGE(H35:J44),"")</calculatedColumnFormula>
      <totalsRowFormula>IFERROR(SUBTOTAL(101,tblTemplate322[Q3]),"")</totalsRowFormula>
    </tableColumn>
    <tableColumn id="19" name="Q4" totalsRowFunction="custom" dataDxfId="635" totalsRowDxfId="634">
      <calculatedColumnFormula>IFERROR(AVERAGE(K35:M44),"")</calculatedColumnFormula>
      <totalsRowFormula>IFERROR(SUBTOTAL(101,tblTemplate322[Q4]),"")</totalsRowFormula>
    </tableColumn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tblTemplate423" displayName="tblTemplate423" ref="A49:S60" totalsRowCount="1" headerRowDxfId="633" totalsRowDxfId="631" tableBorderDxfId="632" totalsRowBorderDxfId="630">
  <tableColumns count="19">
    <tableColumn id="1" name="Name" totalsRowLabel="Grand Total" totalsRowDxfId="629"/>
    <tableColumn id="2" name="January" totalsRowFunction="custom" dataDxfId="628" totalsRowDxfId="627">
      <totalsRowFormula>IFERROR(SUBTOTAL(101,tblTemplate423[January]),"")</totalsRowFormula>
    </tableColumn>
    <tableColumn id="3" name="February" totalsRowFunction="custom" dataDxfId="626" totalsRowDxfId="625">
      <totalsRowFormula>IFERROR(SUBTOTAL(101,tblTemplate423[February]),"")</totalsRowFormula>
    </tableColumn>
    <tableColumn id="4" name="March" totalsRowFunction="custom" dataDxfId="624" totalsRowDxfId="623">
      <totalsRowFormula>IFERROR(SUBTOTAL(101,tblTemplate423[March]),"")</totalsRowFormula>
    </tableColumn>
    <tableColumn id="5" name="April" totalsRowFunction="custom" dataDxfId="622" totalsRowDxfId="621">
      <totalsRowFormula>IFERROR(SUBTOTAL(101,tblTemplate423[April]),"")</totalsRowFormula>
    </tableColumn>
    <tableColumn id="6" name="May" totalsRowFunction="custom" dataDxfId="620" totalsRowDxfId="619">
      <totalsRowFormula>IFERROR(SUBTOTAL(101,tblTemplate423[May]),"")</totalsRowFormula>
    </tableColumn>
    <tableColumn id="7" name="June" totalsRowFunction="custom" dataDxfId="618" totalsRowDxfId="617">
      <totalsRowFormula>IFERROR(SUBTOTAL(101,tblTemplate423[June]),"")</totalsRowFormula>
    </tableColumn>
    <tableColumn id="8" name="July" totalsRowFunction="custom" dataDxfId="616" totalsRowDxfId="615">
      <totalsRowFormula>IFERROR(SUBTOTAL(101,tblTemplate423[July]),"")</totalsRowFormula>
    </tableColumn>
    <tableColumn id="9" name="August" totalsRowFunction="custom" dataDxfId="614" totalsRowDxfId="613">
      <totalsRowFormula>IFERROR(SUBTOTAL(101,tblTemplate423[August]),"")</totalsRowFormula>
    </tableColumn>
    <tableColumn id="10" name="September" totalsRowFunction="custom" dataDxfId="612" totalsRowDxfId="611">
      <totalsRowFormula>IFERROR(SUBTOTAL(101,tblTemplate423[September]),"")</totalsRowFormula>
    </tableColumn>
    <tableColumn id="11" name="October" totalsRowFunction="custom" dataDxfId="610" totalsRowDxfId="609">
      <totalsRowFormula>IFERROR(SUBTOTAL(101,tblTemplate423[October]),"")</totalsRowFormula>
    </tableColumn>
    <tableColumn id="12" name="November" totalsRowFunction="custom" dataDxfId="608" totalsRowDxfId="607">
      <totalsRowFormula>IFERROR(SUBTOTAL(101,tblTemplate423[November]),"")</totalsRowFormula>
    </tableColumn>
    <tableColumn id="13" name="December" totalsRowFunction="custom" dataDxfId="606" totalsRowDxfId="605">
      <totalsRowFormula>IFERROR(SUBTOTAL(101,tblTemplate423[December]),"")</totalsRowFormula>
    </tableColumn>
    <tableColumn id="14" name="Average of Col4" totalsRowFunction="custom" dataDxfId="604" totalsRowDxfId="603">
      <calculatedColumnFormula>IFERROR(AVERAGE(B50:M59),"")</calculatedColumnFormula>
      <totalsRowFormula>IFERROR(SUBTOTAL(101,tblTemplate423[Average of Col4]),"")</totalsRowFormula>
    </tableColumn>
    <tableColumn id="15" name="Trend" dataDxfId="602" totalsRowDxfId="601" dataCellStyle="Comma 2"/>
    <tableColumn id="16" name="Q1" totalsRowFunction="custom" dataDxfId="600" totalsRowDxfId="599">
      <calculatedColumnFormula>IFERROR(AVERAGE(B50:D59),"")</calculatedColumnFormula>
      <totalsRowFormula>IFERROR(SUBTOTAL(101,tblTemplate423[Q1]),"")</totalsRowFormula>
    </tableColumn>
    <tableColumn id="17" name="Q2" totalsRowFunction="custom" dataDxfId="598" totalsRowDxfId="597">
      <calculatedColumnFormula>IFERROR(AVERAGE(E50:G59),"")</calculatedColumnFormula>
      <totalsRowFormula>IFERROR(SUBTOTAL(101,tblTemplate423[Q2]),"")</totalsRowFormula>
    </tableColumn>
    <tableColumn id="18" name="Q3" totalsRowFunction="custom" dataDxfId="596" totalsRowDxfId="595">
      <calculatedColumnFormula>IFERROR(AVERAGE(H50:J59),"")</calculatedColumnFormula>
      <totalsRowFormula>IFERROR(SUBTOTAL(101,tblTemplate423[Q3]),"")</totalsRowFormula>
    </tableColumn>
    <tableColumn id="19" name="Q4" totalsRowFunction="custom" dataDxfId="594" totalsRowDxfId="593">
      <calculatedColumnFormula>IFERROR(AVERAGE(K50:M59),"")</calculatedColumnFormula>
      <totalsRowFormula>IFERROR(SUBTOTAL(101,tblTemplate423[Q4]),"")</totalsRowFormula>
    </tableColumn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3" name="tblTemplate524" displayName="tblTemplate524" ref="A64:S75" totalsRowCount="1" headerRowDxfId="592" totalsRowDxfId="590" tableBorderDxfId="591" totalsRowBorderDxfId="589">
  <tableColumns count="19">
    <tableColumn id="1" name="Name" totalsRowLabel="Grand Total" totalsRowDxfId="588"/>
    <tableColumn id="2" name="January" totalsRowFunction="custom" dataDxfId="587" totalsRowDxfId="586">
      <totalsRowFormula>IFERROR(SUBTOTAL(101,tblTemplate524[January]),"")</totalsRowFormula>
    </tableColumn>
    <tableColumn id="3" name="February" totalsRowFunction="custom" dataDxfId="585" totalsRowDxfId="584">
      <totalsRowFormula>IFERROR(SUBTOTAL(101,tblTemplate524[February]),"")</totalsRowFormula>
    </tableColumn>
    <tableColumn id="4" name="March" totalsRowFunction="custom" dataDxfId="583" totalsRowDxfId="582">
      <totalsRowFormula>IFERROR(SUBTOTAL(101,tblTemplate524[March]),"")</totalsRowFormula>
    </tableColumn>
    <tableColumn id="5" name="April" totalsRowFunction="custom" dataDxfId="581" totalsRowDxfId="580">
      <totalsRowFormula>IFERROR(SUBTOTAL(101,tblTemplate524[April]),"")</totalsRowFormula>
    </tableColumn>
    <tableColumn id="6" name="May" totalsRowFunction="custom" dataDxfId="579" totalsRowDxfId="578">
      <totalsRowFormula>IFERROR(SUBTOTAL(101,tblTemplate524[May]),"")</totalsRowFormula>
    </tableColumn>
    <tableColumn id="7" name="June" totalsRowFunction="custom" dataDxfId="577" totalsRowDxfId="576">
      <totalsRowFormula>IFERROR(SUBTOTAL(101,tblTemplate524[June]),"")</totalsRowFormula>
    </tableColumn>
    <tableColumn id="8" name="July" totalsRowFunction="custom" dataDxfId="575" totalsRowDxfId="574">
      <totalsRowFormula>IFERROR(SUBTOTAL(101,tblTemplate524[July]),"")</totalsRowFormula>
    </tableColumn>
    <tableColumn id="9" name="August" totalsRowFunction="custom" dataDxfId="573" totalsRowDxfId="572">
      <totalsRowFormula>IFERROR(SUBTOTAL(101,tblTemplate524[August]),"")</totalsRowFormula>
    </tableColumn>
    <tableColumn id="10" name="September" totalsRowFunction="custom" dataDxfId="571" totalsRowDxfId="570">
      <totalsRowFormula>IFERROR(SUBTOTAL(101,tblTemplate524[September]),"")</totalsRowFormula>
    </tableColumn>
    <tableColumn id="11" name="October" totalsRowFunction="custom" dataDxfId="569" totalsRowDxfId="568">
      <totalsRowFormula>IFERROR(SUBTOTAL(101,tblTemplate524[October]),"")</totalsRowFormula>
    </tableColumn>
    <tableColumn id="12" name="November" totalsRowFunction="custom" dataDxfId="567" totalsRowDxfId="566">
      <totalsRowFormula>IFERROR(SUBTOTAL(101,tblTemplate524[November]),"")</totalsRowFormula>
    </tableColumn>
    <tableColumn id="13" name="December" totalsRowFunction="custom" dataDxfId="565" totalsRowDxfId="564">
      <totalsRowFormula>IFERROR(SUBTOTAL(101,tblTemplate524[December]),"")</totalsRowFormula>
    </tableColumn>
    <tableColumn id="14" name="Average of Col5" totalsRowFunction="custom" dataDxfId="563" totalsRowDxfId="562">
      <calculatedColumnFormula>IFERROR(AVERAGE(B65:M74),"")</calculatedColumnFormula>
      <totalsRowFormula>IFERROR(SUBTOTAL(101,tblTemplate524[Average of Col5]),"")</totalsRowFormula>
    </tableColumn>
    <tableColumn id="15" name="Trend" dataDxfId="561" totalsRowDxfId="560" dataCellStyle="Comma 2"/>
    <tableColumn id="16" name="Q1" totalsRowFunction="custom" dataDxfId="559" totalsRowDxfId="558">
      <calculatedColumnFormula>IFERROR(AVERAGE(B65:D74),"")</calculatedColumnFormula>
      <totalsRowFormula>IFERROR(SUBTOTAL(101,tblTemplate524[Q1]),"")</totalsRowFormula>
    </tableColumn>
    <tableColumn id="17" name="Q2" totalsRowFunction="custom" dataDxfId="557" totalsRowDxfId="556">
      <calculatedColumnFormula>IFERROR(AVERAGE(E65:G74),"")</calculatedColumnFormula>
      <totalsRowFormula>IFERROR(SUBTOTAL(101,tblTemplate524[Q2]),"")</totalsRowFormula>
    </tableColumn>
    <tableColumn id="18" name="Q3" totalsRowFunction="custom" dataDxfId="555" totalsRowDxfId="554">
      <calculatedColumnFormula>IFERROR(AVERAGE(H65:J74),"")</calculatedColumnFormula>
      <totalsRowFormula>IFERROR(SUBTOTAL(101,tblTemplate524[Q3]),"")</totalsRowFormula>
    </tableColumn>
    <tableColumn id="19" name="Q4" totalsRowFunction="custom" dataDxfId="553" totalsRowDxfId="552">
      <calculatedColumnFormula>IFERROR(AVERAGE(K65:M74),"")</calculatedColumnFormula>
      <totalsRowFormula>IFERROR(SUBTOTAL(101,tblTemplate524[Q4]),"")</totalsRowFormula>
    </tableColumn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tblTemplate625" displayName="tblTemplate625" ref="A79:S90" totalsRowCount="1" headerRowDxfId="551" totalsRowDxfId="549" tableBorderDxfId="550" totalsRowBorderDxfId="548">
  <tableColumns count="19">
    <tableColumn id="1" name="Name" totalsRowLabel="Grand Total" totalsRowDxfId="547"/>
    <tableColumn id="2" name="January" totalsRowFunction="custom" dataDxfId="546" totalsRowDxfId="545">
      <totalsRowFormula>IFERROR(SUBTOTAL(101,tblTemplate625[January]),"")</totalsRowFormula>
    </tableColumn>
    <tableColumn id="3" name="February" totalsRowFunction="custom" dataDxfId="544" totalsRowDxfId="543">
      <totalsRowFormula>IFERROR(SUBTOTAL(101,tblTemplate625[February]),"")</totalsRowFormula>
    </tableColumn>
    <tableColumn id="4" name="March" totalsRowFunction="custom" dataDxfId="542" totalsRowDxfId="541">
      <totalsRowFormula>IFERROR(SUBTOTAL(101,tblTemplate625[March]),"")</totalsRowFormula>
    </tableColumn>
    <tableColumn id="5" name="April" totalsRowFunction="custom" dataDxfId="540" totalsRowDxfId="539">
      <totalsRowFormula>IFERROR(SUBTOTAL(101,tblTemplate625[April]),"")</totalsRowFormula>
    </tableColumn>
    <tableColumn id="6" name="May" totalsRowFunction="custom" dataDxfId="538" totalsRowDxfId="537">
      <totalsRowFormula>IFERROR(SUBTOTAL(101,tblTemplate625[May]),"")</totalsRowFormula>
    </tableColumn>
    <tableColumn id="7" name="June" totalsRowFunction="custom" dataDxfId="536" totalsRowDxfId="535">
      <totalsRowFormula>IFERROR(SUBTOTAL(101,tblTemplate625[June]),"")</totalsRowFormula>
    </tableColumn>
    <tableColumn id="8" name="July" totalsRowFunction="custom" dataDxfId="534" totalsRowDxfId="533">
      <totalsRowFormula>IFERROR(SUBTOTAL(101,tblTemplate625[July]),"")</totalsRowFormula>
    </tableColumn>
    <tableColumn id="9" name="August" totalsRowFunction="custom" dataDxfId="532" totalsRowDxfId="531">
      <totalsRowFormula>IFERROR(SUBTOTAL(101,tblTemplate625[August]),"")</totalsRowFormula>
    </tableColumn>
    <tableColumn id="10" name="September" totalsRowFunction="custom" dataDxfId="530" totalsRowDxfId="529">
      <totalsRowFormula>IFERROR(SUBTOTAL(101,tblTemplate625[September]),"")</totalsRowFormula>
    </tableColumn>
    <tableColumn id="11" name="October" totalsRowFunction="custom" dataDxfId="528" totalsRowDxfId="527">
      <totalsRowFormula>IFERROR(SUBTOTAL(101,tblTemplate625[October]),"")</totalsRowFormula>
    </tableColumn>
    <tableColumn id="12" name="November" totalsRowFunction="custom" dataDxfId="526" totalsRowDxfId="525">
      <totalsRowFormula>IFERROR(SUBTOTAL(101,tblTemplate625[November]),"")</totalsRowFormula>
    </tableColumn>
    <tableColumn id="13" name="December" totalsRowFunction="custom" dataDxfId="524" totalsRowDxfId="523">
      <totalsRowFormula>IFERROR(SUBTOTAL(101,tblTemplate625[December]),"")</totalsRowFormula>
    </tableColumn>
    <tableColumn id="14" name="Average of Col6" totalsRowFunction="custom" dataDxfId="522" totalsRowDxfId="521">
      <calculatedColumnFormula>IFERROR(AVERAGE(B80:M89),"")</calculatedColumnFormula>
      <totalsRowFormula>IFERROR(SUBTOTAL(101,tblTemplate625[Average of Col6]),"")</totalsRowFormula>
    </tableColumn>
    <tableColumn id="15" name="Trend" dataDxfId="520" totalsRowDxfId="519" dataCellStyle="Comma 2"/>
    <tableColumn id="16" name="Q1" totalsRowFunction="custom" dataDxfId="518" totalsRowDxfId="517">
      <calculatedColumnFormula>IFERROR(AVERAGE(B80:D89),"")</calculatedColumnFormula>
      <totalsRowFormula>IFERROR(SUBTOTAL(101,tblTemplate625[Q1]),"")</totalsRowFormula>
    </tableColumn>
    <tableColumn id="17" name="Q2" totalsRowFunction="custom" dataDxfId="516" totalsRowDxfId="515">
      <calculatedColumnFormula>IFERROR(AVERAGE(E80:G89),"")</calculatedColumnFormula>
      <totalsRowFormula>IFERROR(SUBTOTAL(101,tblTemplate625[Q2]),"")</totalsRowFormula>
    </tableColumn>
    <tableColumn id="18" name="Q3" totalsRowFunction="custom" dataDxfId="514" totalsRowDxfId="513">
      <calculatedColumnFormula>IFERROR(AVERAGE(H80:J89),"")</calculatedColumnFormula>
      <totalsRowFormula>IFERROR(SUBTOTAL(101,tblTemplate625[Q3]),"")</totalsRowFormula>
    </tableColumn>
    <tableColumn id="19" name="Q4" totalsRowFunction="custom" dataDxfId="512" totalsRowDxfId="511">
      <calculatedColumnFormula>IFERROR(AVERAGE(K80:M89),"")</calculatedColumnFormula>
      <totalsRowFormula>IFERROR(SUBTOTAL(101,tblTemplate625[Q4]),"")</totalsRowFormula>
    </tableColumn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5" name="tblTemplate726" displayName="tblTemplate726" ref="A94:S105" totalsRowCount="1" headerRowDxfId="510" totalsRowDxfId="508" tableBorderDxfId="509" totalsRowBorderDxfId="507">
  <tableColumns count="19">
    <tableColumn id="1" name="Name" totalsRowLabel="Total" totalsRowDxfId="506"/>
    <tableColumn id="2" name="January" totalsRowFunction="custom" dataDxfId="505" totalsRowDxfId="504">
      <totalsRowFormula>IFERROR(SUBTOTAL(101,tblTemplate726[January]),"")</totalsRowFormula>
    </tableColumn>
    <tableColumn id="3" name="February" totalsRowFunction="custom" dataDxfId="503" totalsRowDxfId="502">
      <totalsRowFormula>IFERROR(SUBTOTAL(101,tblTemplate726[February]),"")</totalsRowFormula>
    </tableColumn>
    <tableColumn id="4" name="March" totalsRowFunction="custom" dataDxfId="501" totalsRowDxfId="500">
      <totalsRowFormula>IFERROR(SUBTOTAL(101,tblTemplate726[March]),"")</totalsRowFormula>
    </tableColumn>
    <tableColumn id="5" name="April" totalsRowFunction="custom" dataDxfId="499" totalsRowDxfId="498">
      <totalsRowFormula>IFERROR(SUBTOTAL(101,tblTemplate726[April]),"")</totalsRowFormula>
    </tableColumn>
    <tableColumn id="6" name="May" totalsRowFunction="custom" dataDxfId="497" totalsRowDxfId="496">
      <totalsRowFormula>IFERROR(SUBTOTAL(101,tblTemplate726[May]),"")</totalsRowFormula>
    </tableColumn>
    <tableColumn id="7" name="June" totalsRowFunction="custom" dataDxfId="495" totalsRowDxfId="494">
      <totalsRowFormula>IFERROR(SUBTOTAL(101,tblTemplate726[June]),"")</totalsRowFormula>
    </tableColumn>
    <tableColumn id="8" name="July" totalsRowFunction="custom" dataDxfId="493" totalsRowDxfId="492">
      <totalsRowFormula>IFERROR(SUBTOTAL(101,tblTemplate726[July]),"")</totalsRowFormula>
    </tableColumn>
    <tableColumn id="9" name="August" totalsRowFunction="custom" dataDxfId="491" totalsRowDxfId="490">
      <totalsRowFormula>IFERROR(SUBTOTAL(101,tblTemplate726[August]),"")</totalsRowFormula>
    </tableColumn>
    <tableColumn id="10" name="September" totalsRowFunction="custom" dataDxfId="489" totalsRowDxfId="488">
      <totalsRowFormula>IFERROR(SUBTOTAL(101,tblTemplate726[September]),"")</totalsRowFormula>
    </tableColumn>
    <tableColumn id="11" name="October" totalsRowFunction="custom" dataDxfId="487" totalsRowDxfId="486">
      <totalsRowFormula>IFERROR(SUBTOTAL(101,tblTemplate726[October]),"")</totalsRowFormula>
    </tableColumn>
    <tableColumn id="12" name="November" totalsRowFunction="custom" dataDxfId="485" totalsRowDxfId="484">
      <totalsRowFormula>IFERROR(SUBTOTAL(101,tblTemplate726[November]),"")</totalsRowFormula>
    </tableColumn>
    <tableColumn id="13" name="December" totalsRowFunction="custom" dataDxfId="483" totalsRowDxfId="482">
      <totalsRowFormula>IFERROR(SUBTOTAL(101,tblTemplate726[December]),"")</totalsRowFormula>
    </tableColumn>
    <tableColumn id="14" name="Average of Col7" totalsRowFunction="custom" dataDxfId="481" totalsRowDxfId="480">
      <calculatedColumnFormula>IFERROR(AVERAGE(B95:M104),"")</calculatedColumnFormula>
      <totalsRowFormula>IFERROR(SUBTOTAL(101,tblTemplate726[Average of Col7]),"")</totalsRowFormula>
    </tableColumn>
    <tableColumn id="15" name="Trend" dataDxfId="479" totalsRowDxfId="478" dataCellStyle="Comma 2"/>
    <tableColumn id="16" name="Q1" totalsRowFunction="custom" dataDxfId="477" totalsRowDxfId="476">
      <calculatedColumnFormula>IFERROR(AVERAGE(B95:D104),"")</calculatedColumnFormula>
      <totalsRowFormula>IFERROR(SUBTOTAL(101,tblTemplate726[Q1]),"")</totalsRowFormula>
    </tableColumn>
    <tableColumn id="17" name="Q2" totalsRowFunction="custom" dataDxfId="475" totalsRowDxfId="474">
      <calculatedColumnFormula>IFERROR(AVERAGE(E95:G104),"")</calculatedColumnFormula>
      <totalsRowFormula>IFERROR(SUBTOTAL(101,tblTemplate726[Q2]),"")</totalsRowFormula>
    </tableColumn>
    <tableColumn id="18" name="Q3" totalsRowFunction="custom" dataDxfId="473" totalsRowDxfId="472">
      <calculatedColumnFormula>IFERROR(AVERAGE(H95:J104),"")</calculatedColumnFormula>
      <totalsRowFormula>IFERROR(SUBTOTAL(101,tblTemplate726[Q3]),"")</totalsRowFormula>
    </tableColumn>
    <tableColumn id="19" name="Q4" totalsRowFunction="custom" dataDxfId="471" totalsRowDxfId="470">
      <calculatedColumnFormula>IFERROR(AVERAGE(K95:M104),"")</calculatedColumnFormula>
      <totalsRowFormula>IFERROR(SUBTOTAL(101,tblTemplate726[Q4]),"")</totalsRowFormula>
    </tableColumn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6" name="tblTemplate827" displayName="tblTemplate827" ref="A109:S120" totalsRowCount="1" headerRowDxfId="469" totalsRowDxfId="467" tableBorderDxfId="468" totalsRowBorderDxfId="466">
  <tableColumns count="19">
    <tableColumn id="1" name="Name" totalsRowLabel="Grand Total" totalsRowDxfId="465"/>
    <tableColumn id="2" name="January" totalsRowFunction="custom" dataDxfId="464" totalsRowDxfId="463">
      <totalsRowFormula>IFERROR(SUBTOTAL(101,tblTemplate827[January]),"")</totalsRowFormula>
    </tableColumn>
    <tableColumn id="3" name="February" totalsRowFunction="custom" dataDxfId="462" totalsRowDxfId="461">
      <totalsRowFormula>IFERROR(SUBTOTAL(101,tblTemplate827[February]),"")</totalsRowFormula>
    </tableColumn>
    <tableColumn id="4" name="March" totalsRowFunction="custom" dataDxfId="460" totalsRowDxfId="459">
      <totalsRowFormula>IFERROR(SUBTOTAL(101,tblTemplate827[March]),"")</totalsRowFormula>
    </tableColumn>
    <tableColumn id="5" name="April" totalsRowFunction="custom" dataDxfId="458" totalsRowDxfId="457">
      <totalsRowFormula>IFERROR(SUBTOTAL(101,tblTemplate827[April]),"")</totalsRowFormula>
    </tableColumn>
    <tableColumn id="6" name="May" totalsRowFunction="custom" dataDxfId="456" totalsRowDxfId="455">
      <totalsRowFormula>IFERROR(SUBTOTAL(101,tblTemplate827[May]),"")</totalsRowFormula>
    </tableColumn>
    <tableColumn id="7" name="June" totalsRowFunction="custom" dataDxfId="454" totalsRowDxfId="453">
      <totalsRowFormula>IFERROR(SUBTOTAL(101,tblTemplate827[June]),"")</totalsRowFormula>
    </tableColumn>
    <tableColumn id="8" name="July" totalsRowFunction="custom" dataDxfId="452" totalsRowDxfId="451">
      <totalsRowFormula>IFERROR(SUBTOTAL(101,tblTemplate827[July]),"")</totalsRowFormula>
    </tableColumn>
    <tableColumn id="9" name="August" totalsRowFunction="custom" dataDxfId="450" totalsRowDxfId="449">
      <totalsRowFormula>IFERROR(SUBTOTAL(101,tblTemplate827[August]),"")</totalsRowFormula>
    </tableColumn>
    <tableColumn id="10" name="September" totalsRowFunction="custom" dataDxfId="448" totalsRowDxfId="447">
      <totalsRowFormula>IFERROR(SUBTOTAL(101,tblTemplate827[September]),"")</totalsRowFormula>
    </tableColumn>
    <tableColumn id="11" name="October" totalsRowFunction="custom" dataDxfId="446" totalsRowDxfId="445">
      <totalsRowFormula>IFERROR(SUBTOTAL(101,tblTemplate827[October]),"")</totalsRowFormula>
    </tableColumn>
    <tableColumn id="12" name="November" totalsRowFunction="custom" dataDxfId="444" totalsRowDxfId="443">
      <totalsRowFormula>IFERROR(SUBTOTAL(101,tblTemplate827[November]),"")</totalsRowFormula>
    </tableColumn>
    <tableColumn id="13" name="December" totalsRowFunction="custom" dataDxfId="442" totalsRowDxfId="441">
      <totalsRowFormula>IFERROR(SUBTOTAL(101,tblTemplate827[December]),"")</totalsRowFormula>
    </tableColumn>
    <tableColumn id="14" name="Average of Col8" totalsRowFunction="custom" dataDxfId="440" totalsRowDxfId="439">
      <calculatedColumnFormula>IFERROR(AVERAGE(B110:M119),"")</calculatedColumnFormula>
      <totalsRowFormula>IFERROR(SUBTOTAL(101,tblTemplate827[Average of Col8]),"")</totalsRowFormula>
    </tableColumn>
    <tableColumn id="15" name="Trend" dataDxfId="438" totalsRowDxfId="437" dataCellStyle="Comma 2"/>
    <tableColumn id="16" name="Q1" totalsRowFunction="custom" dataDxfId="436" totalsRowDxfId="435">
      <calculatedColumnFormula>IFERROR(AVERAGE(B110:D119),"")</calculatedColumnFormula>
      <totalsRowFormula>IFERROR(SUBTOTAL(101,tblTemplate827[Q1]),"")</totalsRowFormula>
    </tableColumn>
    <tableColumn id="17" name="Q2" totalsRowFunction="custom" dataDxfId="434" totalsRowDxfId="433">
      <calculatedColumnFormula>IFERROR(AVERAGE(E110:G119),"")</calculatedColumnFormula>
      <totalsRowFormula>IFERROR(SUBTOTAL(101,tblTemplate827[Q2]),"")</totalsRowFormula>
    </tableColumn>
    <tableColumn id="18" name="Q3" totalsRowFunction="custom" dataDxfId="432" totalsRowDxfId="431">
      <calculatedColumnFormula>IFERROR(AVERAGE(H110:J119),"")</calculatedColumnFormula>
      <totalsRowFormula>IFERROR(SUBTOTAL(101,tblTemplate827[Q3]),"")</totalsRowFormula>
    </tableColumn>
    <tableColumn id="19" name="Q4" totalsRowFunction="custom" dataDxfId="430" totalsRowDxfId="429">
      <calculatedColumnFormula>IFERROR(AVERAGE(K110:M119),"")</calculatedColumnFormula>
      <totalsRowFormula>IFERROR(SUBTOTAL(101,tblTemplate827[Q4]),"")</totalsRowFormula>
    </tableColumn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7" name="tblTemplate928" displayName="tblTemplate928" ref="A124:S135" totalsRowCount="1" headerRowDxfId="428" totalsRowDxfId="426" tableBorderDxfId="427" totalsRowBorderDxfId="425">
  <tableColumns count="19">
    <tableColumn id="1" name="Name" totalsRowLabel="Grand Total" totalsRowDxfId="424"/>
    <tableColumn id="2" name="January" totalsRowFunction="custom" dataDxfId="423" totalsRowDxfId="422">
      <totalsRowFormula>IFERROR(SUBTOTAL(101,tblTemplate928[January]),"")</totalsRowFormula>
    </tableColumn>
    <tableColumn id="3" name="February" totalsRowFunction="custom" dataDxfId="421" totalsRowDxfId="420">
      <totalsRowFormula>IFERROR(SUBTOTAL(101,tblTemplate928[February]),"")</totalsRowFormula>
    </tableColumn>
    <tableColumn id="4" name="March" totalsRowFunction="custom" dataDxfId="419" totalsRowDxfId="418">
      <totalsRowFormula>IFERROR(SUBTOTAL(101,tblTemplate928[March]),"")</totalsRowFormula>
    </tableColumn>
    <tableColumn id="5" name="April" totalsRowFunction="custom" dataDxfId="417" totalsRowDxfId="416">
      <totalsRowFormula>IFERROR(SUBTOTAL(101,tblTemplate928[April]),"")</totalsRowFormula>
    </tableColumn>
    <tableColumn id="6" name="May" totalsRowFunction="custom" dataDxfId="415" totalsRowDxfId="414">
      <totalsRowFormula>IFERROR(SUBTOTAL(101,tblTemplate928[May]),"")</totalsRowFormula>
    </tableColumn>
    <tableColumn id="7" name="June" totalsRowFunction="custom" dataDxfId="413" totalsRowDxfId="412">
      <totalsRowFormula>IFERROR(SUBTOTAL(101,tblTemplate928[June]),"")</totalsRowFormula>
    </tableColumn>
    <tableColumn id="8" name="July" totalsRowFunction="custom" dataDxfId="411" totalsRowDxfId="410">
      <totalsRowFormula>IFERROR(SUBTOTAL(101,tblTemplate928[July]),"")</totalsRowFormula>
    </tableColumn>
    <tableColumn id="9" name="August" totalsRowFunction="custom" dataDxfId="409" totalsRowDxfId="408">
      <totalsRowFormula>IFERROR(SUBTOTAL(101,tblTemplate928[August]),"")</totalsRowFormula>
    </tableColumn>
    <tableColumn id="10" name="September" totalsRowFunction="custom" dataDxfId="407" totalsRowDxfId="406">
      <totalsRowFormula>IFERROR(SUBTOTAL(101,tblTemplate928[September]),"")</totalsRowFormula>
    </tableColumn>
    <tableColumn id="11" name="October" totalsRowFunction="custom" dataDxfId="405" totalsRowDxfId="404">
      <totalsRowFormula>IFERROR(SUBTOTAL(101,tblTemplate928[October]),"")</totalsRowFormula>
    </tableColumn>
    <tableColumn id="12" name="November" totalsRowFunction="custom" dataDxfId="403" totalsRowDxfId="402">
      <totalsRowFormula>IFERROR(SUBTOTAL(101,tblTemplate928[November]),"")</totalsRowFormula>
    </tableColumn>
    <tableColumn id="13" name="December" totalsRowFunction="custom" dataDxfId="401" totalsRowDxfId="400">
      <totalsRowFormula>IFERROR(SUBTOTAL(101,tblTemplate928[December]),"")</totalsRowFormula>
    </tableColumn>
    <tableColumn id="14" name="Average of Col9" totalsRowFunction="custom" dataDxfId="399" totalsRowDxfId="398">
      <calculatedColumnFormula>IFERROR(AVERAGE(B125:M134),"")</calculatedColumnFormula>
      <totalsRowFormula>IFERROR(SUBTOTAL(101,tblTemplate928[Average of Col9]),"")</totalsRowFormula>
    </tableColumn>
    <tableColumn id="15" name="Trend" dataDxfId="397" totalsRowDxfId="396" dataCellStyle="Comma 2"/>
    <tableColumn id="16" name="Q1" totalsRowFunction="custom" dataDxfId="395" totalsRowDxfId="394">
      <calculatedColumnFormula>IFERROR(AVERAGE(B125:D134),"")</calculatedColumnFormula>
      <totalsRowFormula>IFERROR(SUBTOTAL(101,tblTemplate928[Q1]),"")</totalsRowFormula>
    </tableColumn>
    <tableColumn id="17" name="Q2" totalsRowFunction="custom" dataDxfId="393" totalsRowDxfId="392">
      <calculatedColumnFormula>IFERROR(AVERAGE(E125:G134),"")</calculatedColumnFormula>
      <totalsRowFormula>IFERROR(SUBTOTAL(101,tblTemplate928[Q2]),"")</totalsRowFormula>
    </tableColumn>
    <tableColumn id="18" name="Q3" totalsRowFunction="custom" dataDxfId="391" totalsRowDxfId="390">
      <calculatedColumnFormula>IFERROR(AVERAGE(H125:J134),"")</calculatedColumnFormula>
      <totalsRowFormula>IFERROR(SUBTOTAL(101,tblTemplate928[Q3]),"")</totalsRowFormula>
    </tableColumn>
    <tableColumn id="19" name="Q4" totalsRowFunction="custom" dataDxfId="389" totalsRowDxfId="388">
      <calculatedColumnFormula>IFERROR(AVERAGE(K125:M134),"")</calculatedColumnFormula>
      <totalsRowFormula>IFERROR(SUBTOTAL(101,tblTemplate928[Q4]),"")</totalsRowFormula>
    </tableColumn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8" name="tblTemplate129" displayName="tblTemplate129" ref="A4:S15" totalsRowCount="1" headerRowDxfId="387" totalsRowDxfId="385" tableBorderDxfId="386" totalsRowBorderDxfId="384">
  <tableColumns count="19">
    <tableColumn id="1" name="Name" totalsRowLabel="Grand Total" totalsRowDxfId="383"/>
    <tableColumn id="2" name="January" totalsRowFunction="custom" dataDxfId="382" totalsRowDxfId="381">
      <totalsRowFormula>IFERROR(SUBTOTAL(101,tblTemplate129[January]),"")</totalsRowFormula>
    </tableColumn>
    <tableColumn id="3" name="February" totalsRowFunction="custom" dataDxfId="380" totalsRowDxfId="379">
      <totalsRowFormula>IFERROR(SUBTOTAL(101,tblTemplate129[February]),"")</totalsRowFormula>
    </tableColumn>
    <tableColumn id="4" name="March" totalsRowFunction="custom" dataDxfId="378" totalsRowDxfId="377">
      <totalsRowFormula>IFERROR(SUBTOTAL(101,tblTemplate129[March]),"")</totalsRowFormula>
    </tableColumn>
    <tableColumn id="5" name="April" totalsRowFunction="custom" dataDxfId="376" totalsRowDxfId="375">
      <totalsRowFormula>IFERROR(SUBTOTAL(101,tblTemplate129[April]),"")</totalsRowFormula>
    </tableColumn>
    <tableColumn id="6" name="May" totalsRowFunction="custom" dataDxfId="374" totalsRowDxfId="373">
      <totalsRowFormula>IFERROR(SUBTOTAL(101,tblTemplate129[May]),"")</totalsRowFormula>
    </tableColumn>
    <tableColumn id="7" name="June" totalsRowFunction="custom" dataDxfId="372" totalsRowDxfId="371">
      <totalsRowFormula>IFERROR(SUBTOTAL(101,tblTemplate129[June]),"")</totalsRowFormula>
    </tableColumn>
    <tableColumn id="8" name="July" totalsRowFunction="custom" dataDxfId="370" totalsRowDxfId="369">
      <totalsRowFormula>IFERROR(SUBTOTAL(101,tblTemplate129[July]),"")</totalsRowFormula>
    </tableColumn>
    <tableColumn id="9" name="August" totalsRowFunction="custom" dataDxfId="368" totalsRowDxfId="367">
      <totalsRowFormula>IFERROR(SUBTOTAL(101,tblTemplate129[August]),"")</totalsRowFormula>
    </tableColumn>
    <tableColumn id="10" name="September" totalsRowFunction="custom" dataDxfId="366" totalsRowDxfId="365">
      <totalsRowFormula>IFERROR(SUBTOTAL(101,tblTemplate129[September]),"")</totalsRowFormula>
    </tableColumn>
    <tableColumn id="11" name="October" totalsRowFunction="custom" dataDxfId="364" totalsRowDxfId="363">
      <totalsRowFormula>IFERROR(SUBTOTAL(101,tblTemplate129[October]),"")</totalsRowFormula>
    </tableColumn>
    <tableColumn id="12" name="November" totalsRowFunction="custom" dataDxfId="362" totalsRowDxfId="361">
      <totalsRowFormula>IFERROR(SUBTOTAL(101,tblTemplate129[November]),"")</totalsRowFormula>
    </tableColumn>
    <tableColumn id="13" name="December" totalsRowFunction="custom" dataDxfId="360" totalsRowDxfId="359">
      <totalsRowFormula>IFERROR(SUBTOTAL(101,tblTemplate129[December]),"")</totalsRowFormula>
    </tableColumn>
    <tableColumn id="14" name="Average of Col1" totalsRowFunction="custom" dataDxfId="358" totalsRowDxfId="357">
      <calculatedColumnFormula>IFERROR(AVERAGE(B5:M14),"")</calculatedColumnFormula>
      <totalsRowFormula>IFERROR(SUBTOTAL(101,tblTemplate129[Average of Col1]),"")</totalsRowFormula>
    </tableColumn>
    <tableColumn id="15" name="Trend" dataDxfId="356" totalsRowDxfId="355" dataCellStyle="Comma 2"/>
    <tableColumn id="16" name="Q1" totalsRowFunction="custom" dataDxfId="354" totalsRowDxfId="353">
      <calculatedColumnFormula>IFERROR(AVERAGE(B5:D14),"")</calculatedColumnFormula>
      <totalsRowFormula>IFERROR(SUBTOTAL(101,tblTemplate129[Q1]),"")</totalsRowFormula>
    </tableColumn>
    <tableColumn id="17" name="Q2" totalsRowFunction="custom" dataDxfId="352" totalsRowDxfId="351">
      <calculatedColumnFormula>IFERROR(AVERAGE(E5:G14),"")</calculatedColumnFormula>
      <totalsRowFormula>IFERROR(SUBTOTAL(101,tblTemplate129[Q2]),"")</totalsRowFormula>
    </tableColumn>
    <tableColumn id="18" name="Q3" totalsRowFunction="custom" dataDxfId="350" totalsRowDxfId="349">
      <calculatedColumnFormula>IFERROR(AVERAGE(H5:J14),"")</calculatedColumnFormula>
      <totalsRowFormula>IFERROR(SUBTOTAL(101,tblTemplate129[Q3]),"")</totalsRowFormula>
    </tableColumn>
    <tableColumn id="19" name="Q4" totalsRowFunction="custom" dataDxfId="348" totalsRowDxfId="347">
      <calculatedColumnFormula>IFERROR(AVERAGE(K5:M14),"")</calculatedColumnFormula>
      <totalsRowFormula>IFERROR(SUBTOTAL(101,tblTemplate129[Q4]),"")</totalsRowFormula>
    </tableColumn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9" name="tblTemplate230" displayName="tblTemplate230" ref="A19:S30" totalsRowCount="1" headerRowDxfId="346" totalsRowDxfId="344" tableBorderDxfId="345" totalsRowBorderDxfId="343">
  <tableColumns count="19">
    <tableColumn id="1" name="Name" totalsRowLabel="Grand Total" totalsRowDxfId="342"/>
    <tableColumn id="2" name="January" totalsRowFunction="custom" dataDxfId="341" totalsRowDxfId="340">
      <totalsRowFormula>IFERROR(SUBTOTAL(101,tblTemplate230[January]),"")</totalsRowFormula>
    </tableColumn>
    <tableColumn id="3" name="February" totalsRowFunction="custom" dataDxfId="339" totalsRowDxfId="338">
      <totalsRowFormula>IFERROR(SUBTOTAL(101,tblTemplate230[February]),"")</totalsRowFormula>
    </tableColumn>
    <tableColumn id="4" name="March" totalsRowFunction="custom" dataDxfId="337" totalsRowDxfId="336">
      <totalsRowFormula>IFERROR(SUBTOTAL(101,tblTemplate230[March]),"")</totalsRowFormula>
    </tableColumn>
    <tableColumn id="5" name="April" totalsRowFunction="custom" dataDxfId="335" totalsRowDxfId="334">
      <totalsRowFormula>IFERROR(SUBTOTAL(101,tblTemplate230[April]),"")</totalsRowFormula>
    </tableColumn>
    <tableColumn id="6" name="May" totalsRowFunction="custom" dataDxfId="333" totalsRowDxfId="332">
      <totalsRowFormula>IFERROR(SUBTOTAL(101,tblTemplate230[May]),"")</totalsRowFormula>
    </tableColumn>
    <tableColumn id="7" name="June" totalsRowFunction="custom" dataDxfId="331" totalsRowDxfId="330">
      <totalsRowFormula>IFERROR(SUBTOTAL(101,tblTemplate230[June]),"")</totalsRowFormula>
    </tableColumn>
    <tableColumn id="8" name="July" totalsRowFunction="custom" dataDxfId="329" totalsRowDxfId="328">
      <totalsRowFormula>IFERROR(SUBTOTAL(101,tblTemplate230[July]),"")</totalsRowFormula>
    </tableColumn>
    <tableColumn id="9" name="August" totalsRowFunction="custom" dataDxfId="327" totalsRowDxfId="326">
      <totalsRowFormula>IFERROR(SUBTOTAL(101,tblTemplate230[August]),"")</totalsRowFormula>
    </tableColumn>
    <tableColumn id="10" name="September" totalsRowFunction="custom" dataDxfId="325" totalsRowDxfId="324">
      <totalsRowFormula>IFERROR(SUBTOTAL(101,tblTemplate230[September]),"")</totalsRowFormula>
    </tableColumn>
    <tableColumn id="11" name="October" totalsRowFunction="custom" dataDxfId="323" totalsRowDxfId="322">
      <totalsRowFormula>IFERROR(SUBTOTAL(101,tblTemplate230[October]),"")</totalsRowFormula>
    </tableColumn>
    <tableColumn id="12" name="November" totalsRowFunction="custom" dataDxfId="321" totalsRowDxfId="320">
      <totalsRowFormula>IFERROR(SUBTOTAL(101,tblTemplate230[November]),"")</totalsRowFormula>
    </tableColumn>
    <tableColumn id="13" name="December" totalsRowFunction="custom" dataDxfId="319" totalsRowDxfId="318">
      <totalsRowFormula>IFERROR(SUBTOTAL(101,tblTemplate230[December]),"")</totalsRowFormula>
    </tableColumn>
    <tableColumn id="14" name="Average of Col2" totalsRowFunction="custom" dataDxfId="317" totalsRowDxfId="316">
      <calculatedColumnFormula>IFERROR(AVERAGE(B20:M29),"")</calculatedColumnFormula>
      <totalsRowFormula>IFERROR(SUBTOTAL(101,tblTemplate230[Average of Col2]),"")</totalsRowFormula>
    </tableColumn>
    <tableColumn id="15" name="Trend" dataDxfId="315" totalsRowDxfId="314" dataCellStyle="Comma 2"/>
    <tableColumn id="16" name="Q1" totalsRowFunction="custom" dataDxfId="313" totalsRowDxfId="312">
      <calculatedColumnFormula>IFERROR(AVERAGE(B20:D29),"")</calculatedColumnFormula>
      <totalsRowFormula>IFERROR(SUBTOTAL(101,tblTemplate230[Q1]),"")</totalsRowFormula>
    </tableColumn>
    <tableColumn id="17" name="Q2" totalsRowFunction="custom" dataDxfId="311" totalsRowDxfId="310">
      <calculatedColumnFormula>IFERROR(AVERAGE(E20:G29),"")</calculatedColumnFormula>
      <totalsRowFormula>IFERROR(SUBTOTAL(101,tblTemplate230[Q2]),"")</totalsRowFormula>
    </tableColumn>
    <tableColumn id="18" name="Q3" totalsRowFunction="custom" dataDxfId="309" totalsRowDxfId="308">
      <calculatedColumnFormula>IFERROR(AVERAGE(H20:J29),"")</calculatedColumnFormula>
      <totalsRowFormula>IFERROR(SUBTOTAL(101,tblTemplate230[Q3]),"")</totalsRowFormula>
    </tableColumn>
    <tableColumn id="19" name="Q4" totalsRowFunction="custom" dataDxfId="307" totalsRowDxfId="306">
      <calculatedColumnFormula>IFERROR(AVERAGE(K20:M29),"")</calculatedColumnFormula>
      <totalsRowFormula>IFERROR(SUBTOTAL(101,tblTemplate230[Q4]),"")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blTemplate3" displayName="tblTemplate3" ref="A16:S18" totalsRowCount="1" headerRowDxfId="1393" totalsRowDxfId="1391" tableBorderDxfId="1392" totalsRowBorderDxfId="1390">
  <tableColumns count="19">
    <tableColumn id="1" name="Name" totalsRowLabel="Grand Total" totalsRowDxfId="1389"/>
    <tableColumn id="2" name="January" totalsRowFunction="custom" dataDxfId="1388" totalsRowDxfId="1387">
      <totalsRowFormula>IFERROR(SUBTOTAL(101,tblTemplate3[January]),"")</totalsRowFormula>
    </tableColumn>
    <tableColumn id="3" name="February" totalsRowFunction="custom" dataDxfId="1386" totalsRowDxfId="1385">
      <totalsRowFormula>IFERROR(SUBTOTAL(101,tblTemplate3[February]),"")</totalsRowFormula>
    </tableColumn>
    <tableColumn id="4" name="March" totalsRowFunction="custom" dataDxfId="1384" totalsRowDxfId="1383">
      <totalsRowFormula>IFERROR(SUBTOTAL(101,tblTemplate3[March]),"")</totalsRowFormula>
    </tableColumn>
    <tableColumn id="5" name="April" totalsRowFunction="custom" dataDxfId="1382" totalsRowDxfId="1381">
      <totalsRowFormula>IFERROR(SUBTOTAL(101,tblTemplate3[April]),"")</totalsRowFormula>
    </tableColumn>
    <tableColumn id="6" name="May" totalsRowFunction="custom" dataDxfId="1380" totalsRowDxfId="1379">
      <totalsRowFormula>IFERROR(SUBTOTAL(101,tblTemplate3[May]),"")</totalsRowFormula>
    </tableColumn>
    <tableColumn id="7" name="June" totalsRowFunction="custom" dataDxfId="1378" totalsRowDxfId="1377">
      <totalsRowFormula>IFERROR(SUBTOTAL(101,tblTemplate3[June]),"")</totalsRowFormula>
    </tableColumn>
    <tableColumn id="8" name="July" totalsRowFunction="custom" dataDxfId="1376" totalsRowDxfId="1375">
      <totalsRowFormula>IFERROR(SUBTOTAL(101,tblTemplate3[July]),"")</totalsRowFormula>
    </tableColumn>
    <tableColumn id="9" name="August" totalsRowFunction="custom" dataDxfId="1374" totalsRowDxfId="1373">
      <totalsRowFormula>IFERROR(SUBTOTAL(101,tblTemplate3[August]),"")</totalsRowFormula>
    </tableColumn>
    <tableColumn id="10" name="September" totalsRowFunction="custom" dataDxfId="1372" totalsRowDxfId="1371">
      <totalsRowFormula>IFERROR(SUBTOTAL(101,tblTemplate3[September]),"")</totalsRowFormula>
    </tableColumn>
    <tableColumn id="11" name="October" totalsRowFunction="custom" dataDxfId="1370" totalsRowDxfId="1369">
      <totalsRowFormula>IFERROR(SUBTOTAL(101,tblTemplate3[October]),"")</totalsRowFormula>
    </tableColumn>
    <tableColumn id="12" name="November" totalsRowFunction="custom" dataDxfId="1368" totalsRowDxfId="1367">
      <totalsRowFormula>IFERROR(SUBTOTAL(101,tblTemplate3[November]),"")</totalsRowFormula>
    </tableColumn>
    <tableColumn id="13" name="December" totalsRowFunction="custom" dataDxfId="1366" totalsRowDxfId="1365">
      <totalsRowFormula>IFERROR(SUBTOTAL(101,tblTemplate3[December]),"")</totalsRowFormula>
    </tableColumn>
    <tableColumn id="14" name="December2" totalsRowFunction="custom" dataDxfId="1364" totalsRowDxfId="1363">
      <calculatedColumnFormula>IFERROR(AVERAGE(B17:M17),"")</calculatedColumnFormula>
      <totalsRowFormula>IFERROR(SUBTOTAL(101,tblTemplate3[December2]),"")</totalsRowFormula>
    </tableColumn>
    <tableColumn id="15" name="Trend" dataDxfId="1362" totalsRowDxfId="1361" dataCellStyle="Comma 2"/>
    <tableColumn id="16" name="Q1" totalsRowFunction="custom" dataDxfId="1360" totalsRowDxfId="1359">
      <calculatedColumnFormula>IFERROR(AVERAGE(B17:D17),"")</calculatedColumnFormula>
      <totalsRowFormula>IFERROR(SUBTOTAL(101,tblTemplate3[Q1]),"")</totalsRowFormula>
    </tableColumn>
    <tableColumn id="17" name="Q2" totalsRowFunction="custom" dataDxfId="1358" totalsRowDxfId="1357">
      <calculatedColumnFormula>IFERROR(AVERAGE(E17:G17),"")</calculatedColumnFormula>
      <totalsRowFormula>IFERROR(SUBTOTAL(101,tblTemplate3[Q2]),"")</totalsRowFormula>
    </tableColumn>
    <tableColumn id="18" name="Q3" totalsRowFunction="custom" dataDxfId="1356" totalsRowDxfId="1355">
      <calculatedColumnFormula>IFERROR(AVERAGE(H17:J17),"")</calculatedColumnFormula>
      <totalsRowFormula>IFERROR(SUBTOTAL(101,tblTemplate3[Q3]),"")</totalsRowFormula>
    </tableColumn>
    <tableColumn id="19" name="Q4" totalsRowFunction="custom" dataDxfId="1354" totalsRowDxfId="1353">
      <calculatedColumnFormula>IFERROR(AVERAGE(K17:M17),"")</calculatedColumnFormula>
      <totalsRowFormula>IFERROR(SUBTOTAL(101,tblTemplate3[Q4]),"")</totalsRowFormula>
    </tableColumn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0" name="tblTemplate331" displayName="tblTemplate331" ref="A34:S45" totalsRowCount="1" headerRowDxfId="305" totalsRowDxfId="303" tableBorderDxfId="304" totalsRowBorderDxfId="302">
  <tableColumns count="19">
    <tableColumn id="1" name="Name" totalsRowLabel="Grand Total" totalsRowDxfId="301"/>
    <tableColumn id="2" name="January" totalsRowFunction="custom" dataDxfId="300" totalsRowDxfId="299">
      <totalsRowFormula>IFERROR(SUBTOTAL(101,tblTemplate331[January]),"")</totalsRowFormula>
    </tableColumn>
    <tableColumn id="3" name="February" totalsRowFunction="custom" dataDxfId="298" totalsRowDxfId="297">
      <totalsRowFormula>IFERROR(SUBTOTAL(101,tblTemplate331[February]),"")</totalsRowFormula>
    </tableColumn>
    <tableColumn id="4" name="March" totalsRowFunction="custom" dataDxfId="296" totalsRowDxfId="295">
      <totalsRowFormula>IFERROR(SUBTOTAL(101,tblTemplate331[March]),"")</totalsRowFormula>
    </tableColumn>
    <tableColumn id="5" name="April" totalsRowFunction="custom" dataDxfId="294" totalsRowDxfId="293">
      <totalsRowFormula>IFERROR(SUBTOTAL(101,tblTemplate331[April]),"")</totalsRowFormula>
    </tableColumn>
    <tableColumn id="6" name="May" totalsRowFunction="custom" dataDxfId="292" totalsRowDxfId="291">
      <totalsRowFormula>IFERROR(SUBTOTAL(101,tblTemplate331[May]),"")</totalsRowFormula>
    </tableColumn>
    <tableColumn id="7" name="June" totalsRowFunction="custom" dataDxfId="290" totalsRowDxfId="289">
      <totalsRowFormula>IFERROR(SUBTOTAL(101,tblTemplate331[June]),"")</totalsRowFormula>
    </tableColumn>
    <tableColumn id="8" name="July" totalsRowFunction="custom" dataDxfId="288" totalsRowDxfId="287">
      <totalsRowFormula>IFERROR(SUBTOTAL(101,tblTemplate331[July]),"")</totalsRowFormula>
    </tableColumn>
    <tableColumn id="9" name="August" totalsRowFunction="custom" dataDxfId="286" totalsRowDxfId="285">
      <totalsRowFormula>IFERROR(SUBTOTAL(101,tblTemplate331[August]),"")</totalsRowFormula>
    </tableColumn>
    <tableColumn id="10" name="September" totalsRowFunction="custom" dataDxfId="284" totalsRowDxfId="283">
      <totalsRowFormula>IFERROR(SUBTOTAL(101,tblTemplate331[September]),"")</totalsRowFormula>
    </tableColumn>
    <tableColumn id="11" name="October" totalsRowFunction="custom" dataDxfId="282" totalsRowDxfId="281">
      <totalsRowFormula>IFERROR(SUBTOTAL(101,tblTemplate331[October]),"")</totalsRowFormula>
    </tableColumn>
    <tableColumn id="12" name="November" totalsRowFunction="custom" dataDxfId="280" totalsRowDxfId="279">
      <totalsRowFormula>IFERROR(SUBTOTAL(101,tblTemplate331[November]),"")</totalsRowFormula>
    </tableColumn>
    <tableColumn id="13" name="December" totalsRowFunction="custom" dataDxfId="278" totalsRowDxfId="277">
      <totalsRowFormula>IFERROR(SUBTOTAL(101,tblTemplate331[December]),"")</totalsRowFormula>
    </tableColumn>
    <tableColumn id="14" name="Average of Col3" totalsRowFunction="custom" dataDxfId="276" totalsRowDxfId="275">
      <calculatedColumnFormula>IFERROR(AVERAGE(B35:M44),"")</calculatedColumnFormula>
      <totalsRowFormula>IFERROR(SUBTOTAL(101,tblTemplate331[Average of Col3]),"")</totalsRowFormula>
    </tableColumn>
    <tableColumn id="15" name="Trend" dataDxfId="274" totalsRowDxfId="273" dataCellStyle="Comma 2"/>
    <tableColumn id="16" name="Q1" totalsRowFunction="custom" dataDxfId="272" totalsRowDxfId="271">
      <calculatedColumnFormula>IFERROR(AVERAGE(B35:D44),"")</calculatedColumnFormula>
      <totalsRowFormula>IFERROR(SUBTOTAL(101,tblTemplate331[Q1]),"")</totalsRowFormula>
    </tableColumn>
    <tableColumn id="17" name="Q2" totalsRowFunction="custom" dataDxfId="270" totalsRowDxfId="269">
      <calculatedColumnFormula>IFERROR(AVERAGE(E35:G44),"")</calculatedColumnFormula>
      <totalsRowFormula>IFERROR(SUBTOTAL(101,tblTemplate331[Q2]),"")</totalsRowFormula>
    </tableColumn>
    <tableColumn id="18" name="Q3" totalsRowFunction="custom" dataDxfId="268" totalsRowDxfId="267">
      <calculatedColumnFormula>IFERROR(AVERAGE(H35:J44),"")</calculatedColumnFormula>
      <totalsRowFormula>IFERROR(SUBTOTAL(101,tblTemplate331[Q3]),"")</totalsRowFormula>
    </tableColumn>
    <tableColumn id="19" name="Q4" totalsRowFunction="custom" dataDxfId="266" totalsRowDxfId="265">
      <calculatedColumnFormula>IFERROR(AVERAGE(K35:M44),"")</calculatedColumnFormula>
      <totalsRowFormula>IFERROR(SUBTOTAL(101,tblTemplate331[Q4]),"")</totalsRowFormula>
    </tableColumn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1" name="tblTemplate432" displayName="tblTemplate432" ref="A49:S60" totalsRowCount="1" headerRowDxfId="264" totalsRowDxfId="262" tableBorderDxfId="263" totalsRowBorderDxfId="261">
  <tableColumns count="19">
    <tableColumn id="1" name="Name" totalsRowLabel="Grand Total" totalsRowDxfId="260"/>
    <tableColumn id="2" name="January" totalsRowFunction="custom" dataDxfId="259" totalsRowDxfId="258">
      <totalsRowFormula>IFERROR(SUBTOTAL(101,tblTemplate432[January]),"")</totalsRowFormula>
    </tableColumn>
    <tableColumn id="3" name="February" totalsRowFunction="custom" dataDxfId="257" totalsRowDxfId="256">
      <totalsRowFormula>IFERROR(SUBTOTAL(101,tblTemplate432[February]),"")</totalsRowFormula>
    </tableColumn>
    <tableColumn id="4" name="March" totalsRowFunction="custom" dataDxfId="255" totalsRowDxfId="254">
      <totalsRowFormula>IFERROR(SUBTOTAL(101,tblTemplate432[March]),"")</totalsRowFormula>
    </tableColumn>
    <tableColumn id="5" name="April" totalsRowFunction="custom" dataDxfId="253" totalsRowDxfId="252">
      <totalsRowFormula>IFERROR(SUBTOTAL(101,tblTemplate432[April]),"")</totalsRowFormula>
    </tableColumn>
    <tableColumn id="6" name="May" totalsRowFunction="custom" dataDxfId="251" totalsRowDxfId="250">
      <totalsRowFormula>IFERROR(SUBTOTAL(101,tblTemplate432[May]),"")</totalsRowFormula>
    </tableColumn>
    <tableColumn id="7" name="June" totalsRowFunction="custom" dataDxfId="249" totalsRowDxfId="248">
      <totalsRowFormula>IFERROR(SUBTOTAL(101,tblTemplate432[June]),"")</totalsRowFormula>
    </tableColumn>
    <tableColumn id="8" name="July" totalsRowFunction="custom" dataDxfId="247" totalsRowDxfId="246">
      <totalsRowFormula>IFERROR(SUBTOTAL(101,tblTemplate432[July]),"")</totalsRowFormula>
    </tableColumn>
    <tableColumn id="9" name="August" totalsRowFunction="custom" dataDxfId="245" totalsRowDxfId="244">
      <totalsRowFormula>IFERROR(SUBTOTAL(101,tblTemplate432[August]),"")</totalsRowFormula>
    </tableColumn>
    <tableColumn id="10" name="September" totalsRowFunction="custom" dataDxfId="243" totalsRowDxfId="242">
      <totalsRowFormula>IFERROR(SUBTOTAL(101,tblTemplate432[September]),"")</totalsRowFormula>
    </tableColumn>
    <tableColumn id="11" name="October" totalsRowFunction="custom" dataDxfId="241" totalsRowDxfId="240">
      <totalsRowFormula>IFERROR(SUBTOTAL(101,tblTemplate432[October]),"")</totalsRowFormula>
    </tableColumn>
    <tableColumn id="12" name="November" totalsRowFunction="custom" dataDxfId="239" totalsRowDxfId="238">
      <totalsRowFormula>IFERROR(SUBTOTAL(101,tblTemplate432[November]),"")</totalsRowFormula>
    </tableColumn>
    <tableColumn id="13" name="December" totalsRowFunction="custom" dataDxfId="237" totalsRowDxfId="236">
      <totalsRowFormula>IFERROR(SUBTOTAL(101,tblTemplate432[December]),"")</totalsRowFormula>
    </tableColumn>
    <tableColumn id="14" name="Average of Col4" totalsRowFunction="custom" dataDxfId="235" totalsRowDxfId="234">
      <calculatedColumnFormula>IFERROR(AVERAGE(B50:M59),"")</calculatedColumnFormula>
      <totalsRowFormula>IFERROR(SUBTOTAL(101,tblTemplate432[Average of Col4]),"")</totalsRowFormula>
    </tableColumn>
    <tableColumn id="15" name="Trend" dataDxfId="233" totalsRowDxfId="232" dataCellStyle="Comma 2"/>
    <tableColumn id="16" name="Q1" totalsRowFunction="custom" dataDxfId="231" totalsRowDxfId="230">
      <calculatedColumnFormula>IFERROR(AVERAGE(B50:D59),"")</calculatedColumnFormula>
      <totalsRowFormula>IFERROR(SUBTOTAL(101,tblTemplate432[Q1]),"")</totalsRowFormula>
    </tableColumn>
    <tableColumn id="17" name="Q2" totalsRowFunction="custom" dataDxfId="229" totalsRowDxfId="228">
      <calculatedColumnFormula>IFERROR(AVERAGE(E50:G59),"")</calculatedColumnFormula>
      <totalsRowFormula>IFERROR(SUBTOTAL(101,tblTemplate432[Q2]),"")</totalsRowFormula>
    </tableColumn>
    <tableColumn id="18" name="Q3" totalsRowFunction="custom" dataDxfId="227" totalsRowDxfId="226">
      <calculatedColumnFormula>IFERROR(AVERAGE(H50:J59),"")</calculatedColumnFormula>
      <totalsRowFormula>IFERROR(SUBTOTAL(101,tblTemplate432[Q3]),"")</totalsRowFormula>
    </tableColumn>
    <tableColumn id="19" name="Q4" totalsRowFunction="custom" dataDxfId="225" totalsRowDxfId="224">
      <calculatedColumnFormula>IFERROR(AVERAGE(K50:M59),"")</calculatedColumnFormula>
      <totalsRowFormula>IFERROR(SUBTOTAL(101,tblTemplate432[Q4]),"")</totalsRowFormula>
    </tableColumn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32" name="tblTemplate533" displayName="tblTemplate533" ref="A64:S75" totalsRowCount="1" headerRowDxfId="223" totalsRowDxfId="221" tableBorderDxfId="222" totalsRowBorderDxfId="220">
  <tableColumns count="19">
    <tableColumn id="1" name="Name" totalsRowLabel="Grand Total" totalsRowDxfId="219"/>
    <tableColumn id="2" name="January" totalsRowFunction="custom" dataDxfId="218" totalsRowDxfId="217">
      <totalsRowFormula>IFERROR(SUBTOTAL(101,tblTemplate533[January]),"")</totalsRowFormula>
    </tableColumn>
    <tableColumn id="3" name="February" totalsRowFunction="custom" dataDxfId="216" totalsRowDxfId="215">
      <totalsRowFormula>IFERROR(SUBTOTAL(101,tblTemplate533[February]),"")</totalsRowFormula>
    </tableColumn>
    <tableColumn id="4" name="March" totalsRowFunction="custom" dataDxfId="214" totalsRowDxfId="213">
      <totalsRowFormula>IFERROR(SUBTOTAL(101,tblTemplate533[March]),"")</totalsRowFormula>
    </tableColumn>
    <tableColumn id="5" name="April" totalsRowFunction="custom" dataDxfId="212" totalsRowDxfId="211">
      <totalsRowFormula>IFERROR(SUBTOTAL(101,tblTemplate533[April]),"")</totalsRowFormula>
    </tableColumn>
    <tableColumn id="6" name="May" totalsRowFunction="custom" dataDxfId="210" totalsRowDxfId="209">
      <totalsRowFormula>IFERROR(SUBTOTAL(101,tblTemplate533[May]),"")</totalsRowFormula>
    </tableColumn>
    <tableColumn id="7" name="June" totalsRowFunction="custom" dataDxfId="208" totalsRowDxfId="207">
      <totalsRowFormula>IFERROR(SUBTOTAL(101,tblTemplate533[June]),"")</totalsRowFormula>
    </tableColumn>
    <tableColumn id="8" name="July" totalsRowFunction="custom" dataDxfId="206" totalsRowDxfId="205">
      <totalsRowFormula>IFERROR(SUBTOTAL(101,tblTemplate533[July]),"")</totalsRowFormula>
    </tableColumn>
    <tableColumn id="9" name="August" totalsRowFunction="custom" dataDxfId="204" totalsRowDxfId="203">
      <totalsRowFormula>IFERROR(SUBTOTAL(101,tblTemplate533[August]),"")</totalsRowFormula>
    </tableColumn>
    <tableColumn id="10" name="September" totalsRowFunction="custom" dataDxfId="202" totalsRowDxfId="201">
      <totalsRowFormula>IFERROR(SUBTOTAL(101,tblTemplate533[September]),"")</totalsRowFormula>
    </tableColumn>
    <tableColumn id="11" name="October" totalsRowFunction="custom" dataDxfId="200" totalsRowDxfId="199">
      <totalsRowFormula>IFERROR(SUBTOTAL(101,tblTemplate533[October]),"")</totalsRowFormula>
    </tableColumn>
    <tableColumn id="12" name="November" totalsRowFunction="custom" dataDxfId="198" totalsRowDxfId="197">
      <totalsRowFormula>IFERROR(SUBTOTAL(101,tblTemplate533[November]),"")</totalsRowFormula>
    </tableColumn>
    <tableColumn id="13" name="December" totalsRowFunction="custom" dataDxfId="196" totalsRowDxfId="195">
      <totalsRowFormula>IFERROR(SUBTOTAL(101,tblTemplate533[December]),"")</totalsRowFormula>
    </tableColumn>
    <tableColumn id="14" name="Average of Col5" totalsRowFunction="custom" dataDxfId="194" totalsRowDxfId="193">
      <calculatedColumnFormula>IFERROR(AVERAGE(B65:M74),"")</calculatedColumnFormula>
      <totalsRowFormula>IFERROR(SUBTOTAL(101,tblTemplate533[Average of Col5]),"")</totalsRowFormula>
    </tableColumn>
    <tableColumn id="15" name="Trend" dataDxfId="192" totalsRowDxfId="191" dataCellStyle="Comma 2"/>
    <tableColumn id="16" name="Q1" totalsRowFunction="custom" dataDxfId="190" totalsRowDxfId="189">
      <calculatedColumnFormula>IFERROR(AVERAGE(B65:D74),"")</calculatedColumnFormula>
      <totalsRowFormula>IFERROR(SUBTOTAL(101,tblTemplate533[Q1]),"")</totalsRowFormula>
    </tableColumn>
    <tableColumn id="17" name="Q2" totalsRowFunction="custom" dataDxfId="188" totalsRowDxfId="187">
      <calculatedColumnFormula>IFERROR(AVERAGE(E65:G74),"")</calculatedColumnFormula>
      <totalsRowFormula>IFERROR(SUBTOTAL(101,tblTemplate533[Q2]),"")</totalsRowFormula>
    </tableColumn>
    <tableColumn id="18" name="Q3" totalsRowFunction="custom" dataDxfId="186" totalsRowDxfId="185">
      <calculatedColumnFormula>IFERROR(AVERAGE(H65:J74),"")</calculatedColumnFormula>
      <totalsRowFormula>IFERROR(SUBTOTAL(101,tblTemplate533[Q3]),"")</totalsRowFormula>
    </tableColumn>
    <tableColumn id="19" name="Q4" totalsRowFunction="custom" dataDxfId="184" totalsRowDxfId="183">
      <calculatedColumnFormula>IFERROR(AVERAGE(K65:M74),"")</calculatedColumnFormula>
      <totalsRowFormula>IFERROR(SUBTOTAL(101,tblTemplate533[Q4]),"")</totalsRowFormula>
    </tableColumn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33" name="tblTemplate634" displayName="tblTemplate634" ref="A79:S90" totalsRowCount="1" headerRowDxfId="182" totalsRowDxfId="180" tableBorderDxfId="181" totalsRowBorderDxfId="179">
  <tableColumns count="19">
    <tableColumn id="1" name="Name" totalsRowLabel="Grand Total" totalsRowDxfId="178"/>
    <tableColumn id="2" name="January" totalsRowFunction="custom" dataDxfId="177" totalsRowDxfId="176">
      <totalsRowFormula>IFERROR(SUBTOTAL(101,tblTemplate634[January]),"")</totalsRowFormula>
    </tableColumn>
    <tableColumn id="3" name="February" totalsRowFunction="custom" dataDxfId="175" totalsRowDxfId="174">
      <totalsRowFormula>IFERROR(SUBTOTAL(101,tblTemplate634[February]),"")</totalsRowFormula>
    </tableColumn>
    <tableColumn id="4" name="March" totalsRowFunction="custom" dataDxfId="173" totalsRowDxfId="172">
      <totalsRowFormula>IFERROR(SUBTOTAL(101,tblTemplate634[March]),"")</totalsRowFormula>
    </tableColumn>
    <tableColumn id="5" name="April" totalsRowFunction="custom" dataDxfId="171" totalsRowDxfId="170">
      <totalsRowFormula>IFERROR(SUBTOTAL(101,tblTemplate634[April]),"")</totalsRowFormula>
    </tableColumn>
    <tableColumn id="6" name="May" totalsRowFunction="custom" dataDxfId="169" totalsRowDxfId="168">
      <totalsRowFormula>IFERROR(SUBTOTAL(101,tblTemplate634[May]),"")</totalsRowFormula>
    </tableColumn>
    <tableColumn id="7" name="June" totalsRowFunction="custom" dataDxfId="167" totalsRowDxfId="166">
      <totalsRowFormula>IFERROR(SUBTOTAL(101,tblTemplate634[June]),"")</totalsRowFormula>
    </tableColumn>
    <tableColumn id="8" name="July" totalsRowFunction="custom" dataDxfId="165" totalsRowDxfId="164">
      <totalsRowFormula>IFERROR(SUBTOTAL(101,tblTemplate634[July]),"")</totalsRowFormula>
    </tableColumn>
    <tableColumn id="9" name="August" totalsRowFunction="custom" dataDxfId="163" totalsRowDxfId="162">
      <totalsRowFormula>IFERROR(SUBTOTAL(101,tblTemplate634[August]),"")</totalsRowFormula>
    </tableColumn>
    <tableColumn id="10" name="September" totalsRowFunction="custom" dataDxfId="161" totalsRowDxfId="160">
      <totalsRowFormula>IFERROR(SUBTOTAL(101,tblTemplate634[September]),"")</totalsRowFormula>
    </tableColumn>
    <tableColumn id="11" name="October" totalsRowFunction="custom" dataDxfId="159" totalsRowDxfId="158">
      <totalsRowFormula>IFERROR(SUBTOTAL(101,tblTemplate634[October]),"")</totalsRowFormula>
    </tableColumn>
    <tableColumn id="12" name="November" totalsRowFunction="custom" dataDxfId="157" totalsRowDxfId="156">
      <totalsRowFormula>IFERROR(SUBTOTAL(101,tblTemplate634[November]),"")</totalsRowFormula>
    </tableColumn>
    <tableColumn id="13" name="December" totalsRowFunction="custom" dataDxfId="155" totalsRowDxfId="154">
      <totalsRowFormula>IFERROR(SUBTOTAL(101,tblTemplate634[December]),"")</totalsRowFormula>
    </tableColumn>
    <tableColumn id="14" name="Average of Col6" totalsRowFunction="custom" dataDxfId="153" totalsRowDxfId="152">
      <calculatedColumnFormula>IFERROR(AVERAGE(B80:M89),"")</calculatedColumnFormula>
      <totalsRowFormula>IFERROR(SUBTOTAL(101,tblTemplate634[Average of Col6]),"")</totalsRowFormula>
    </tableColumn>
    <tableColumn id="15" name="Trend" dataDxfId="151" totalsRowDxfId="150" dataCellStyle="Comma 2"/>
    <tableColumn id="16" name="Q1" totalsRowFunction="custom" dataDxfId="149" totalsRowDxfId="148">
      <calculatedColumnFormula>IFERROR(AVERAGE(B80:D89),"")</calculatedColumnFormula>
      <totalsRowFormula>IFERROR(SUBTOTAL(101,tblTemplate634[Q1]),"")</totalsRowFormula>
    </tableColumn>
    <tableColumn id="17" name="Q2" totalsRowFunction="custom" dataDxfId="147" totalsRowDxfId="146">
      <calculatedColumnFormula>IFERROR(AVERAGE(E80:G89),"")</calculatedColumnFormula>
      <totalsRowFormula>IFERROR(SUBTOTAL(101,tblTemplate634[Q2]),"")</totalsRowFormula>
    </tableColumn>
    <tableColumn id="18" name="Q3" totalsRowFunction="custom" dataDxfId="145" totalsRowDxfId="144">
      <calculatedColumnFormula>IFERROR(AVERAGE(H80:J89),"")</calculatedColumnFormula>
      <totalsRowFormula>IFERROR(SUBTOTAL(101,tblTemplate634[Q3]),"")</totalsRowFormula>
    </tableColumn>
    <tableColumn id="19" name="Q4" totalsRowFunction="custom" dataDxfId="143" totalsRowDxfId="142">
      <calculatedColumnFormula>IFERROR(AVERAGE(K80:M89),"")</calculatedColumnFormula>
      <totalsRowFormula>IFERROR(SUBTOTAL(101,tblTemplate634[Q4]),"")</totalsRowFormula>
    </tableColumn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34" name="tblTemplate735" displayName="tblTemplate735" ref="A94:S105" totalsRowCount="1" headerRowDxfId="141" totalsRowDxfId="139" tableBorderDxfId="140" totalsRowBorderDxfId="138">
  <tableColumns count="19">
    <tableColumn id="1" name="Name" totalsRowLabel="Total" totalsRowDxfId="137"/>
    <tableColumn id="2" name="January" totalsRowFunction="custom" dataDxfId="136" totalsRowDxfId="135">
      <totalsRowFormula>IFERROR(SUBTOTAL(101,tblTemplate735[January]),"")</totalsRowFormula>
    </tableColumn>
    <tableColumn id="3" name="February" totalsRowFunction="custom" dataDxfId="134" totalsRowDxfId="133">
      <totalsRowFormula>IFERROR(SUBTOTAL(101,tblTemplate735[February]),"")</totalsRowFormula>
    </tableColumn>
    <tableColumn id="4" name="March" totalsRowFunction="custom" dataDxfId="132" totalsRowDxfId="131">
      <totalsRowFormula>IFERROR(SUBTOTAL(101,tblTemplate735[March]),"")</totalsRowFormula>
    </tableColumn>
    <tableColumn id="5" name="April" totalsRowFunction="custom" dataDxfId="130" totalsRowDxfId="129">
      <totalsRowFormula>IFERROR(SUBTOTAL(101,tblTemplate735[April]),"")</totalsRowFormula>
    </tableColumn>
    <tableColumn id="6" name="May" totalsRowFunction="custom" dataDxfId="128" totalsRowDxfId="127">
      <totalsRowFormula>IFERROR(SUBTOTAL(101,tblTemplate735[May]),"")</totalsRowFormula>
    </tableColumn>
    <tableColumn id="7" name="June" totalsRowFunction="custom" dataDxfId="126" totalsRowDxfId="125">
      <totalsRowFormula>IFERROR(SUBTOTAL(101,tblTemplate735[June]),"")</totalsRowFormula>
    </tableColumn>
    <tableColumn id="8" name="July" totalsRowFunction="custom" dataDxfId="124" totalsRowDxfId="123">
      <totalsRowFormula>IFERROR(SUBTOTAL(101,tblTemplate735[July]),"")</totalsRowFormula>
    </tableColumn>
    <tableColumn id="9" name="August" totalsRowFunction="custom" dataDxfId="122" totalsRowDxfId="121">
      <totalsRowFormula>IFERROR(SUBTOTAL(101,tblTemplate735[August]),"")</totalsRowFormula>
    </tableColumn>
    <tableColumn id="10" name="September" totalsRowFunction="custom" dataDxfId="120" totalsRowDxfId="119">
      <totalsRowFormula>IFERROR(SUBTOTAL(101,tblTemplate735[September]),"")</totalsRowFormula>
    </tableColumn>
    <tableColumn id="11" name="October" totalsRowFunction="custom" dataDxfId="118" totalsRowDxfId="117">
      <totalsRowFormula>IFERROR(SUBTOTAL(101,tblTemplate735[October]),"")</totalsRowFormula>
    </tableColumn>
    <tableColumn id="12" name="November" totalsRowFunction="custom" dataDxfId="116" totalsRowDxfId="115">
      <totalsRowFormula>IFERROR(SUBTOTAL(101,tblTemplate735[November]),"")</totalsRowFormula>
    </tableColumn>
    <tableColumn id="13" name="December" totalsRowFunction="custom" dataDxfId="114" totalsRowDxfId="113">
      <totalsRowFormula>IFERROR(SUBTOTAL(101,tblTemplate735[December]),"")</totalsRowFormula>
    </tableColumn>
    <tableColumn id="14" name="Average of Col7" totalsRowFunction="custom" dataDxfId="112" totalsRowDxfId="111">
      <calculatedColumnFormula>IFERROR(AVERAGE(B95:M104),"")</calculatedColumnFormula>
      <totalsRowFormula>IFERROR(SUBTOTAL(101,tblTemplate735[Average of Col7]),"")</totalsRowFormula>
    </tableColumn>
    <tableColumn id="15" name="Trend" dataDxfId="110" totalsRowDxfId="109" dataCellStyle="Comma 2"/>
    <tableColumn id="16" name="Q1" totalsRowFunction="custom" dataDxfId="108" totalsRowDxfId="107">
      <calculatedColumnFormula>IFERROR(AVERAGE(B95:D104),"")</calculatedColumnFormula>
      <totalsRowFormula>IFERROR(SUBTOTAL(101,tblTemplate735[Q1]),"")</totalsRowFormula>
    </tableColumn>
    <tableColumn id="17" name="Q2" totalsRowFunction="custom" dataDxfId="106" totalsRowDxfId="105">
      <calculatedColumnFormula>IFERROR(AVERAGE(E95:G104),"")</calculatedColumnFormula>
      <totalsRowFormula>IFERROR(SUBTOTAL(101,tblTemplate735[Q2]),"")</totalsRowFormula>
    </tableColumn>
    <tableColumn id="18" name="Q3" totalsRowFunction="custom" dataDxfId="104" totalsRowDxfId="103">
      <calculatedColumnFormula>IFERROR(AVERAGE(H95:J104),"")</calculatedColumnFormula>
      <totalsRowFormula>IFERROR(SUBTOTAL(101,tblTemplate735[Q3]),"")</totalsRowFormula>
    </tableColumn>
    <tableColumn id="19" name="Q4" totalsRowFunction="custom" dataDxfId="102" totalsRowDxfId="101">
      <calculatedColumnFormula>IFERROR(AVERAGE(K95:M104),"")</calculatedColumnFormula>
      <totalsRowFormula>IFERROR(SUBTOTAL(101,tblTemplate735[Q4]),"")</totalsRowFormula>
    </tableColumn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35" name="tblTemplate836" displayName="tblTemplate836" ref="A109:S120" totalsRowCount="1" headerRowDxfId="100" totalsRowDxfId="98" tableBorderDxfId="99" totalsRowBorderDxfId="97">
  <tableColumns count="19">
    <tableColumn id="1" name="Name" totalsRowLabel="Grand Total" totalsRowDxfId="96"/>
    <tableColumn id="2" name="January" totalsRowFunction="custom" dataDxfId="95" totalsRowDxfId="94">
      <totalsRowFormula>IFERROR(SUBTOTAL(101,tblTemplate836[January]),"")</totalsRowFormula>
    </tableColumn>
    <tableColumn id="3" name="February" totalsRowFunction="custom" dataDxfId="93" totalsRowDxfId="92">
      <totalsRowFormula>IFERROR(SUBTOTAL(101,tblTemplate836[February]),"")</totalsRowFormula>
    </tableColumn>
    <tableColumn id="4" name="March" totalsRowFunction="custom" dataDxfId="91" totalsRowDxfId="90">
      <totalsRowFormula>IFERROR(SUBTOTAL(101,tblTemplate836[March]),"")</totalsRowFormula>
    </tableColumn>
    <tableColumn id="5" name="April" totalsRowFunction="custom" dataDxfId="89" totalsRowDxfId="88">
      <totalsRowFormula>IFERROR(SUBTOTAL(101,tblTemplate836[April]),"")</totalsRowFormula>
    </tableColumn>
    <tableColumn id="6" name="May" totalsRowFunction="custom" dataDxfId="87" totalsRowDxfId="86">
      <totalsRowFormula>IFERROR(SUBTOTAL(101,tblTemplate836[May]),"")</totalsRowFormula>
    </tableColumn>
    <tableColumn id="7" name="June" totalsRowFunction="custom" dataDxfId="85" totalsRowDxfId="84">
      <totalsRowFormula>IFERROR(SUBTOTAL(101,tblTemplate836[June]),"")</totalsRowFormula>
    </tableColumn>
    <tableColumn id="8" name="July" totalsRowFunction="custom" dataDxfId="83" totalsRowDxfId="82">
      <totalsRowFormula>IFERROR(SUBTOTAL(101,tblTemplate836[July]),"")</totalsRowFormula>
    </tableColumn>
    <tableColumn id="9" name="August" totalsRowFunction="custom" dataDxfId="81" totalsRowDxfId="80">
      <totalsRowFormula>IFERROR(SUBTOTAL(101,tblTemplate836[August]),"")</totalsRowFormula>
    </tableColumn>
    <tableColumn id="10" name="September" totalsRowFunction="custom" dataDxfId="79" totalsRowDxfId="78">
      <totalsRowFormula>IFERROR(SUBTOTAL(101,tblTemplate836[September]),"")</totalsRowFormula>
    </tableColumn>
    <tableColumn id="11" name="October" totalsRowFunction="custom" dataDxfId="77" totalsRowDxfId="76">
      <totalsRowFormula>IFERROR(SUBTOTAL(101,tblTemplate836[October]),"")</totalsRowFormula>
    </tableColumn>
    <tableColumn id="12" name="November" totalsRowFunction="custom" dataDxfId="75" totalsRowDxfId="74">
      <totalsRowFormula>IFERROR(SUBTOTAL(101,tblTemplate836[November]),"")</totalsRowFormula>
    </tableColumn>
    <tableColumn id="13" name="December" totalsRowFunction="custom" dataDxfId="73" totalsRowDxfId="72">
      <totalsRowFormula>IFERROR(SUBTOTAL(101,tblTemplate836[December]),"")</totalsRowFormula>
    </tableColumn>
    <tableColumn id="14" name="Average of Col8" totalsRowFunction="custom" dataDxfId="71" totalsRowDxfId="70">
      <calculatedColumnFormula>IFERROR(AVERAGE(B110:M119),"")</calculatedColumnFormula>
      <totalsRowFormula>IFERROR(SUBTOTAL(101,tblTemplate836[Average of Col8]),"")</totalsRowFormula>
    </tableColumn>
    <tableColumn id="15" name="Trend" dataDxfId="69" totalsRowDxfId="68" dataCellStyle="Comma 2"/>
    <tableColumn id="16" name="Q1" totalsRowFunction="custom" dataDxfId="67" totalsRowDxfId="66">
      <calculatedColumnFormula>IFERROR(AVERAGE(B110:D119),"")</calculatedColumnFormula>
      <totalsRowFormula>IFERROR(SUBTOTAL(101,tblTemplate836[Q1]),"")</totalsRowFormula>
    </tableColumn>
    <tableColumn id="17" name="Q2" totalsRowFunction="custom" dataDxfId="65" totalsRowDxfId="64">
      <calculatedColumnFormula>IFERROR(AVERAGE(E110:G119),"")</calculatedColumnFormula>
      <totalsRowFormula>IFERROR(SUBTOTAL(101,tblTemplate836[Q2]),"")</totalsRowFormula>
    </tableColumn>
    <tableColumn id="18" name="Q3" totalsRowFunction="custom" dataDxfId="63" totalsRowDxfId="62">
      <calculatedColumnFormula>IFERROR(AVERAGE(H110:J119),"")</calculatedColumnFormula>
      <totalsRowFormula>IFERROR(SUBTOTAL(101,tblTemplate836[Q3]),"")</totalsRowFormula>
    </tableColumn>
    <tableColumn id="19" name="Q4" totalsRowFunction="custom" dataDxfId="61" totalsRowDxfId="60">
      <calculatedColumnFormula>IFERROR(AVERAGE(K110:M119),"")</calculatedColumnFormula>
      <totalsRowFormula>IFERROR(SUBTOTAL(101,tblTemplate836[Q4]),"")</totalsRowFormula>
    </tableColumn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36" name="tblTemplate937" displayName="tblTemplate937" ref="A124:S135" totalsRowCount="1" headerRowDxfId="59" totalsRowDxfId="57" tableBorderDxfId="58" totalsRowBorderDxfId="56">
  <tableColumns count="19">
    <tableColumn id="1" name="Name" totalsRowLabel="Grand Total" totalsRowDxfId="55"/>
    <tableColumn id="2" name="January" totalsRowFunction="custom" dataDxfId="54" totalsRowDxfId="53">
      <totalsRowFormula>IFERROR(SUBTOTAL(101,tblTemplate937[January]),"")</totalsRowFormula>
    </tableColumn>
    <tableColumn id="3" name="February" totalsRowFunction="custom" dataDxfId="52" totalsRowDxfId="51">
      <totalsRowFormula>IFERROR(SUBTOTAL(101,tblTemplate937[February]),"")</totalsRowFormula>
    </tableColumn>
    <tableColumn id="4" name="March" totalsRowFunction="custom" dataDxfId="50" totalsRowDxfId="49">
      <totalsRowFormula>IFERROR(SUBTOTAL(101,tblTemplate937[March]),"")</totalsRowFormula>
    </tableColumn>
    <tableColumn id="5" name="April" totalsRowFunction="custom" dataDxfId="48" totalsRowDxfId="47">
      <totalsRowFormula>IFERROR(SUBTOTAL(101,tblTemplate937[April]),"")</totalsRowFormula>
    </tableColumn>
    <tableColumn id="6" name="May" totalsRowFunction="custom" dataDxfId="46" totalsRowDxfId="45">
      <totalsRowFormula>IFERROR(SUBTOTAL(101,tblTemplate937[May]),"")</totalsRowFormula>
    </tableColumn>
    <tableColumn id="7" name="June" totalsRowFunction="custom" dataDxfId="44" totalsRowDxfId="43">
      <totalsRowFormula>IFERROR(SUBTOTAL(101,tblTemplate937[June]),"")</totalsRowFormula>
    </tableColumn>
    <tableColumn id="8" name="July" totalsRowFunction="custom" dataDxfId="42" totalsRowDxfId="41">
      <totalsRowFormula>IFERROR(SUBTOTAL(101,tblTemplate937[July]),"")</totalsRowFormula>
    </tableColumn>
    <tableColumn id="9" name="August" totalsRowFunction="custom" dataDxfId="40" totalsRowDxfId="39">
      <totalsRowFormula>IFERROR(SUBTOTAL(101,tblTemplate937[August]),"")</totalsRowFormula>
    </tableColumn>
    <tableColumn id="10" name="September" totalsRowFunction="custom" dataDxfId="38" totalsRowDxfId="37">
      <totalsRowFormula>IFERROR(SUBTOTAL(101,tblTemplate937[September]),"")</totalsRowFormula>
    </tableColumn>
    <tableColumn id="11" name="October" totalsRowFunction="custom" dataDxfId="36" totalsRowDxfId="35">
      <totalsRowFormula>IFERROR(SUBTOTAL(101,tblTemplate937[October]),"")</totalsRowFormula>
    </tableColumn>
    <tableColumn id="12" name="November" totalsRowFunction="custom" dataDxfId="34" totalsRowDxfId="33">
      <totalsRowFormula>IFERROR(SUBTOTAL(101,tblTemplate937[November]),"")</totalsRowFormula>
    </tableColumn>
    <tableColumn id="13" name="December" totalsRowFunction="custom" dataDxfId="32" totalsRowDxfId="31">
      <totalsRowFormula>IFERROR(SUBTOTAL(101,tblTemplate937[December]),"")</totalsRowFormula>
    </tableColumn>
    <tableColumn id="14" name="Average of Col9" totalsRowFunction="custom" dataDxfId="30" totalsRowDxfId="29">
      <calculatedColumnFormula>IFERROR(AVERAGE(B125:M134),"")</calculatedColumnFormula>
      <totalsRowFormula>IFERROR(SUBTOTAL(101,tblTemplate937[Average of Col9]),"")</totalsRowFormula>
    </tableColumn>
    <tableColumn id="15" name="Trend" dataDxfId="28" totalsRowDxfId="27" dataCellStyle="Comma 2"/>
    <tableColumn id="16" name="Q1" totalsRowFunction="custom" dataDxfId="26" totalsRowDxfId="25">
      <calculatedColumnFormula>IFERROR(AVERAGE(B125:D134),"")</calculatedColumnFormula>
      <totalsRowFormula>IFERROR(SUBTOTAL(101,tblTemplate937[Q1]),"")</totalsRowFormula>
    </tableColumn>
    <tableColumn id="17" name="Q2" totalsRowFunction="custom" dataDxfId="24" totalsRowDxfId="23">
      <calculatedColumnFormula>IFERROR(AVERAGE(E125:G134),"")</calculatedColumnFormula>
      <totalsRowFormula>IFERROR(SUBTOTAL(101,tblTemplate937[Q2]),"")</totalsRowFormula>
    </tableColumn>
    <tableColumn id="18" name="Q3" totalsRowFunction="custom" dataDxfId="22" totalsRowDxfId="21">
      <calculatedColumnFormula>IFERROR(AVERAGE(H125:J134),"")</calculatedColumnFormula>
      <totalsRowFormula>IFERROR(SUBTOTAL(101,tblTemplate937[Q3]),"")</totalsRowFormula>
    </tableColumn>
    <tableColumn id="19" name="Q4" totalsRowFunction="custom" dataDxfId="20" totalsRowDxfId="19">
      <calculatedColumnFormula>IFERROR(AVERAGE(K125:M134),"")</calculatedColumnFormula>
      <totalsRowFormula>IFERROR(SUBTOTAL(101,tblTemplate937[Q4]),"")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blTemplate4" displayName="tblTemplate4" ref="A22:S24" totalsRowCount="1" headerRowDxfId="1352" totalsRowDxfId="1350" tableBorderDxfId="1351" totalsRowBorderDxfId="1349">
  <tableColumns count="19">
    <tableColumn id="1" name="Name" totalsRowLabel="Grand Total" totalsRowDxfId="1348"/>
    <tableColumn id="2" name="January" totalsRowFunction="custom" dataDxfId="1347" totalsRowDxfId="1346">
      <totalsRowFormula>IFERROR(SUBTOTAL(101,tblTemplate4[January]),"")</totalsRowFormula>
    </tableColumn>
    <tableColumn id="3" name="February" totalsRowFunction="custom" dataDxfId="1345" totalsRowDxfId="1344">
      <totalsRowFormula>IFERROR(SUBTOTAL(101,tblTemplate4[February]),"")</totalsRowFormula>
    </tableColumn>
    <tableColumn id="4" name="March" totalsRowFunction="custom" dataDxfId="1343" totalsRowDxfId="1342">
      <totalsRowFormula>IFERROR(SUBTOTAL(101,tblTemplate4[March]),"")</totalsRowFormula>
    </tableColumn>
    <tableColumn id="5" name="April" totalsRowFunction="custom" dataDxfId="1341" totalsRowDxfId="1340">
      <totalsRowFormula>IFERROR(SUBTOTAL(101,tblTemplate4[April]),"")</totalsRowFormula>
    </tableColumn>
    <tableColumn id="6" name="May" totalsRowFunction="custom" dataDxfId="1339" totalsRowDxfId="1338">
      <totalsRowFormula>IFERROR(SUBTOTAL(101,tblTemplate4[May]),"")</totalsRowFormula>
    </tableColumn>
    <tableColumn id="7" name="June" totalsRowFunction="custom" dataDxfId="1337" totalsRowDxfId="1336">
      <totalsRowFormula>IFERROR(SUBTOTAL(101,tblTemplate4[June]),"")</totalsRowFormula>
    </tableColumn>
    <tableColumn id="8" name="July" totalsRowFunction="custom" dataDxfId="1335" totalsRowDxfId="1334">
      <totalsRowFormula>IFERROR(SUBTOTAL(101,tblTemplate4[July]),"")</totalsRowFormula>
    </tableColumn>
    <tableColumn id="9" name="August" totalsRowFunction="custom" dataDxfId="1333" totalsRowDxfId="1332">
      <totalsRowFormula>IFERROR(SUBTOTAL(101,tblTemplate4[August]),"")</totalsRowFormula>
    </tableColumn>
    <tableColumn id="10" name="September" totalsRowFunction="custom" dataDxfId="1331" totalsRowDxfId="1330">
      <totalsRowFormula>IFERROR(SUBTOTAL(101,tblTemplate4[September]),"")</totalsRowFormula>
    </tableColumn>
    <tableColumn id="11" name="October" totalsRowFunction="custom" dataDxfId="1329" totalsRowDxfId="1328">
      <totalsRowFormula>IFERROR(SUBTOTAL(101,tblTemplate4[October]),"")</totalsRowFormula>
    </tableColumn>
    <tableColumn id="12" name="November" totalsRowFunction="custom" dataDxfId="1327" totalsRowDxfId="1326">
      <totalsRowFormula>IFERROR(SUBTOTAL(101,tblTemplate4[November]),"")</totalsRowFormula>
    </tableColumn>
    <tableColumn id="13" name="December" totalsRowFunction="custom" dataDxfId="1325" totalsRowDxfId="1324">
      <totalsRowFormula>IFERROR(SUBTOTAL(101,tblTemplate4[December]),"")</totalsRowFormula>
    </tableColumn>
    <tableColumn id="14" name="December2" totalsRowFunction="custom" dataDxfId="1323" totalsRowDxfId="1322">
      <calculatedColumnFormula>IFERROR(AVERAGE(B23:M23),"")</calculatedColumnFormula>
      <totalsRowFormula>IFERROR(SUBTOTAL(101,tblTemplate4[December2]),"")</totalsRowFormula>
    </tableColumn>
    <tableColumn id="15" name="Trend" dataDxfId="1321" totalsRowDxfId="1320" dataCellStyle="Comma 2"/>
    <tableColumn id="16" name="Q1" totalsRowFunction="custom" dataDxfId="1319" totalsRowDxfId="1318">
      <calculatedColumnFormula>IFERROR(AVERAGE(B23:D23),"")</calculatedColumnFormula>
      <totalsRowFormula>IFERROR(SUBTOTAL(101,tblTemplate4[Q1]),"")</totalsRowFormula>
    </tableColumn>
    <tableColumn id="17" name="Q2" totalsRowFunction="custom" dataDxfId="1317" totalsRowDxfId="1316">
      <calculatedColumnFormula>IFERROR(AVERAGE(E23:G23),"")</calculatedColumnFormula>
      <totalsRowFormula>IFERROR(SUBTOTAL(101,tblTemplate4[Q2]),"")</totalsRowFormula>
    </tableColumn>
    <tableColumn id="18" name="Q3" totalsRowFunction="custom" dataDxfId="1315" totalsRowDxfId="1314">
      <calculatedColumnFormula>IFERROR(AVERAGE(H23:J23),"")</calculatedColumnFormula>
      <totalsRowFormula>IFERROR(SUBTOTAL(101,tblTemplate4[Q3]),"")</totalsRowFormula>
    </tableColumn>
    <tableColumn id="19" name="Q4" totalsRowFunction="custom" dataDxfId="1313" totalsRowDxfId="1312">
      <calculatedColumnFormula>IFERROR(AVERAGE(K23:M23),"")</calculatedColumnFormula>
      <totalsRowFormula>IFERROR(SUBTOTAL(101,tblTemplate4[Q4]),"")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blTemplate5" displayName="tblTemplate5" ref="A28:S30" totalsRowCount="1" headerRowDxfId="1311" totalsRowDxfId="1309" tableBorderDxfId="1310" totalsRowBorderDxfId="1308">
  <tableColumns count="19">
    <tableColumn id="1" name="Name" totalsRowLabel="Grand Total" totalsRowDxfId="1307"/>
    <tableColumn id="2" name="January" totalsRowFunction="custom" dataDxfId="1306" totalsRowDxfId="1305">
      <totalsRowFormula>IFERROR(SUBTOTAL(101,tblTemplate5[January]),"")</totalsRowFormula>
    </tableColumn>
    <tableColumn id="3" name="February" totalsRowFunction="custom" dataDxfId="1304" totalsRowDxfId="1303">
      <totalsRowFormula>IFERROR(SUBTOTAL(101,tblTemplate5[February]),"")</totalsRowFormula>
    </tableColumn>
    <tableColumn id="4" name="March" totalsRowFunction="custom" dataDxfId="1302" totalsRowDxfId="1301">
      <totalsRowFormula>IFERROR(SUBTOTAL(101,tblTemplate5[March]),"")</totalsRowFormula>
    </tableColumn>
    <tableColumn id="5" name="April" totalsRowFunction="custom" dataDxfId="1300" totalsRowDxfId="1299">
      <totalsRowFormula>IFERROR(SUBTOTAL(101,tblTemplate5[April]),"")</totalsRowFormula>
    </tableColumn>
    <tableColumn id="6" name="May" totalsRowFunction="custom" dataDxfId="1298" totalsRowDxfId="1297">
      <totalsRowFormula>IFERROR(SUBTOTAL(101,tblTemplate5[May]),"")</totalsRowFormula>
    </tableColumn>
    <tableColumn id="7" name="June" totalsRowFunction="custom" dataDxfId="1296" totalsRowDxfId="1295">
      <totalsRowFormula>IFERROR(SUBTOTAL(101,tblTemplate5[June]),"")</totalsRowFormula>
    </tableColumn>
    <tableColumn id="8" name="July" totalsRowFunction="custom" dataDxfId="1294" totalsRowDxfId="1293">
      <totalsRowFormula>IFERROR(SUBTOTAL(101,tblTemplate5[July]),"")</totalsRowFormula>
    </tableColumn>
    <tableColumn id="9" name="August" totalsRowFunction="custom" dataDxfId="1292" totalsRowDxfId="1291">
      <totalsRowFormula>IFERROR(SUBTOTAL(101,tblTemplate5[August]),"")</totalsRowFormula>
    </tableColumn>
    <tableColumn id="10" name="September" totalsRowFunction="custom" dataDxfId="1290" totalsRowDxfId="1289">
      <totalsRowFormula>IFERROR(SUBTOTAL(101,tblTemplate5[September]),"")</totalsRowFormula>
    </tableColumn>
    <tableColumn id="11" name="October" totalsRowFunction="custom" dataDxfId="1288" totalsRowDxfId="1287">
      <totalsRowFormula>IFERROR(SUBTOTAL(101,tblTemplate5[October]),"")</totalsRowFormula>
    </tableColumn>
    <tableColumn id="12" name="November" totalsRowFunction="custom" dataDxfId="1286" totalsRowDxfId="1285">
      <totalsRowFormula>IFERROR(SUBTOTAL(101,tblTemplate5[November]),"")</totalsRowFormula>
    </tableColumn>
    <tableColumn id="13" name="December" totalsRowFunction="custom" dataDxfId="1284" totalsRowDxfId="1283">
      <totalsRowFormula>IFERROR(SUBTOTAL(101,tblTemplate5[December]),"")</totalsRowFormula>
    </tableColumn>
    <tableColumn id="14" name="December2" totalsRowFunction="custom" dataDxfId="1282" totalsRowDxfId="1281">
      <calculatedColumnFormula>IFERROR(AVERAGE(B29:M29),"")</calculatedColumnFormula>
      <totalsRowFormula>IFERROR(SUBTOTAL(101,tblTemplate5[December2]),"")</totalsRowFormula>
    </tableColumn>
    <tableColumn id="15" name="Trend" dataDxfId="1280" totalsRowDxfId="1279" dataCellStyle="Comma 2"/>
    <tableColumn id="16" name="Q1" totalsRowFunction="custom" dataDxfId="1278" totalsRowDxfId="1277">
      <calculatedColumnFormula>IFERROR(AVERAGE(B29:D29),"")</calculatedColumnFormula>
      <totalsRowFormula>IFERROR(SUBTOTAL(101,tblTemplate5[Q1]),"")</totalsRowFormula>
    </tableColumn>
    <tableColumn id="17" name="Q2" totalsRowFunction="custom" dataDxfId="1276" totalsRowDxfId="1275">
      <calculatedColumnFormula>IFERROR(AVERAGE(E29:G29),"")</calculatedColumnFormula>
      <totalsRowFormula>IFERROR(SUBTOTAL(101,tblTemplate5[Q2]),"")</totalsRowFormula>
    </tableColumn>
    <tableColumn id="18" name="Q3" totalsRowFunction="custom" dataDxfId="1274" totalsRowDxfId="1273">
      <calculatedColumnFormula>IFERROR(AVERAGE(H29:J29),"")</calculatedColumnFormula>
      <totalsRowFormula>IFERROR(SUBTOTAL(101,tblTemplate5[Q3]),"")</totalsRowFormula>
    </tableColumn>
    <tableColumn id="19" name="Q4" totalsRowFunction="custom" dataDxfId="1272" totalsRowDxfId="1271">
      <calculatedColumnFormula>IFERROR(AVERAGE(K29:M29),"")</calculatedColumnFormula>
      <totalsRowFormula>IFERROR(SUBTOTAL(101,tblTemplate5[Q4]),"")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blTemplate6" displayName="tblTemplate6" ref="A34:S36" totalsRowCount="1" headerRowDxfId="1270" totalsRowDxfId="1268" tableBorderDxfId="1269" totalsRowBorderDxfId="1267">
  <tableColumns count="19">
    <tableColumn id="1" name="Name" totalsRowLabel="Grand Total" totalsRowDxfId="1266"/>
    <tableColumn id="2" name="January" totalsRowFunction="custom" dataDxfId="1265" totalsRowDxfId="1264">
      <totalsRowFormula>IFERROR(SUBTOTAL(101,tblTemplate6[January]),"")</totalsRowFormula>
    </tableColumn>
    <tableColumn id="3" name="February" totalsRowFunction="custom" dataDxfId="1263" totalsRowDxfId="1262">
      <totalsRowFormula>IFERROR(SUBTOTAL(101,tblTemplate6[February]),"")</totalsRowFormula>
    </tableColumn>
    <tableColumn id="4" name="March" totalsRowFunction="custom" dataDxfId="1261" totalsRowDxfId="1260">
      <totalsRowFormula>IFERROR(SUBTOTAL(101,tblTemplate6[March]),"")</totalsRowFormula>
    </tableColumn>
    <tableColumn id="5" name="April" totalsRowFunction="custom" dataDxfId="1259" totalsRowDxfId="1258">
      <totalsRowFormula>IFERROR(SUBTOTAL(101,tblTemplate6[April]),"")</totalsRowFormula>
    </tableColumn>
    <tableColumn id="6" name="May" totalsRowFunction="custom" dataDxfId="1257" totalsRowDxfId="1256">
      <totalsRowFormula>IFERROR(SUBTOTAL(101,tblTemplate6[May]),"")</totalsRowFormula>
    </tableColumn>
    <tableColumn id="7" name="June" totalsRowFunction="custom" dataDxfId="1255" totalsRowDxfId="1254">
      <totalsRowFormula>IFERROR(SUBTOTAL(101,tblTemplate6[June]),"")</totalsRowFormula>
    </tableColumn>
    <tableColumn id="8" name="July" totalsRowFunction="custom" dataDxfId="1253" totalsRowDxfId="1252">
      <totalsRowFormula>IFERROR(SUBTOTAL(101,tblTemplate6[July]),"")</totalsRowFormula>
    </tableColumn>
    <tableColumn id="9" name="August" totalsRowFunction="custom" dataDxfId="1251" totalsRowDxfId="1250">
      <totalsRowFormula>IFERROR(SUBTOTAL(101,tblTemplate6[August]),"")</totalsRowFormula>
    </tableColumn>
    <tableColumn id="10" name="September" totalsRowFunction="custom" dataDxfId="1249" totalsRowDxfId="1248">
      <totalsRowFormula>IFERROR(SUBTOTAL(101,tblTemplate6[September]),"")</totalsRowFormula>
    </tableColumn>
    <tableColumn id="11" name="October" totalsRowFunction="custom" dataDxfId="1247" totalsRowDxfId="1246">
      <totalsRowFormula>IFERROR(SUBTOTAL(101,tblTemplate6[October]),"")</totalsRowFormula>
    </tableColumn>
    <tableColumn id="12" name="November" totalsRowFunction="custom" dataDxfId="1245" totalsRowDxfId="1244">
      <totalsRowFormula>IFERROR(SUBTOTAL(101,tblTemplate6[November]),"")</totalsRowFormula>
    </tableColumn>
    <tableColumn id="13" name="December" totalsRowFunction="custom" dataDxfId="1243" totalsRowDxfId="1242">
      <totalsRowFormula>IFERROR(SUBTOTAL(101,tblTemplate6[December]),"")</totalsRowFormula>
    </tableColumn>
    <tableColumn id="14" name="December2" totalsRowFunction="custom" dataDxfId="1241" totalsRowDxfId="1240">
      <calculatedColumnFormula>IFERROR(AVERAGE(B35:M35),"")</calculatedColumnFormula>
      <totalsRowFormula>IFERROR(SUBTOTAL(101,tblTemplate6[December2]),"")</totalsRowFormula>
    </tableColumn>
    <tableColumn id="15" name="Trend" dataDxfId="1239" totalsRowDxfId="1238" dataCellStyle="Comma 2"/>
    <tableColumn id="16" name="Q1" totalsRowFunction="custom" dataDxfId="1237" totalsRowDxfId="1236">
      <calculatedColumnFormula>IFERROR(AVERAGE(B35:D35),"")</calculatedColumnFormula>
      <totalsRowFormula>IFERROR(SUBTOTAL(101,tblTemplate6[Q1]),"")</totalsRowFormula>
    </tableColumn>
    <tableColumn id="17" name="Q2" totalsRowFunction="custom" dataDxfId="1235" totalsRowDxfId="1234">
      <calculatedColumnFormula>IFERROR(AVERAGE(E35:G35),"")</calculatedColumnFormula>
      <totalsRowFormula>IFERROR(SUBTOTAL(101,tblTemplate6[Q2]),"")</totalsRowFormula>
    </tableColumn>
    <tableColumn id="18" name="Q3" totalsRowFunction="custom" dataDxfId="1233" totalsRowDxfId="1232">
      <calculatedColumnFormula>IFERROR(AVERAGE(H35:J35),"")</calculatedColumnFormula>
      <totalsRowFormula>IFERROR(SUBTOTAL(101,tblTemplate6[Q3]),"")</totalsRowFormula>
    </tableColumn>
    <tableColumn id="19" name="Q4" totalsRowFunction="custom" dataDxfId="1231" totalsRowDxfId="1230">
      <calculatedColumnFormula>IFERROR(AVERAGE(K35:M35),"")</calculatedColumnFormula>
      <totalsRowFormula>IFERROR(SUBTOTAL(101,tblTemplate6[Q4]),"")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blTemplate7" displayName="tblTemplate7" ref="A40:S42" totalsRowCount="1" headerRowDxfId="1229" totalsRowDxfId="1227" tableBorderDxfId="1228" totalsRowBorderDxfId="1226">
  <tableColumns count="19">
    <tableColumn id="1" name="Name" totalsRowLabel="Total" totalsRowDxfId="1225"/>
    <tableColumn id="2" name="January" totalsRowFunction="custom" dataDxfId="1224" totalsRowDxfId="1223">
      <totalsRowFormula>IFERROR(SUBTOTAL(101,tblTemplate7[January]),"")</totalsRowFormula>
    </tableColumn>
    <tableColumn id="3" name="February" totalsRowFunction="custom" dataDxfId="1222" totalsRowDxfId="1221">
      <totalsRowFormula>IFERROR(SUBTOTAL(101,tblTemplate7[February]),"")</totalsRowFormula>
    </tableColumn>
    <tableColumn id="4" name="March" totalsRowFunction="custom" dataDxfId="1220" totalsRowDxfId="1219">
      <totalsRowFormula>IFERROR(SUBTOTAL(101,tblTemplate7[March]),"")</totalsRowFormula>
    </tableColumn>
    <tableColumn id="5" name="April" totalsRowFunction="custom" dataDxfId="1218" totalsRowDxfId="1217">
      <totalsRowFormula>IFERROR(SUBTOTAL(101,tblTemplate7[April]),"")</totalsRowFormula>
    </tableColumn>
    <tableColumn id="6" name="May" totalsRowFunction="custom" dataDxfId="1216" totalsRowDxfId="1215">
      <totalsRowFormula>IFERROR(SUBTOTAL(101,tblTemplate7[May]),"")</totalsRowFormula>
    </tableColumn>
    <tableColumn id="7" name="June" totalsRowFunction="custom" dataDxfId="1214" totalsRowDxfId="1213">
      <totalsRowFormula>IFERROR(SUBTOTAL(101,tblTemplate7[June]),"")</totalsRowFormula>
    </tableColumn>
    <tableColumn id="8" name="July" totalsRowFunction="custom" dataDxfId="1212" totalsRowDxfId="1211">
      <totalsRowFormula>IFERROR(SUBTOTAL(101,tblTemplate7[July]),"")</totalsRowFormula>
    </tableColumn>
    <tableColumn id="9" name="August" totalsRowFunction="custom" dataDxfId="1210" totalsRowDxfId="1209">
      <totalsRowFormula>IFERROR(SUBTOTAL(101,tblTemplate7[August]),"")</totalsRowFormula>
    </tableColumn>
    <tableColumn id="10" name="September" totalsRowFunction="custom" dataDxfId="1208" totalsRowDxfId="1207">
      <totalsRowFormula>IFERROR(SUBTOTAL(101,tblTemplate7[September]),"")</totalsRowFormula>
    </tableColumn>
    <tableColumn id="11" name="October" totalsRowFunction="custom" dataDxfId="1206" totalsRowDxfId="1205">
      <totalsRowFormula>IFERROR(SUBTOTAL(101,tblTemplate7[October]),"")</totalsRowFormula>
    </tableColumn>
    <tableColumn id="12" name="November" totalsRowFunction="custom" dataDxfId="1204" totalsRowDxfId="1203">
      <totalsRowFormula>IFERROR(SUBTOTAL(101,tblTemplate7[November]),"")</totalsRowFormula>
    </tableColumn>
    <tableColumn id="13" name="December" totalsRowFunction="custom" dataDxfId="1202" totalsRowDxfId="1201">
      <totalsRowFormula>IFERROR(SUBTOTAL(101,tblTemplate7[December]),"")</totalsRowFormula>
    </tableColumn>
    <tableColumn id="14" name="December2" totalsRowFunction="custom" dataDxfId="1200" totalsRowDxfId="1199">
      <calculatedColumnFormula>IFERROR(AVERAGE(B41:M41),"")</calculatedColumnFormula>
      <totalsRowFormula>IFERROR(SUBTOTAL(101,tblTemplate7[December2]),"")</totalsRowFormula>
    </tableColumn>
    <tableColumn id="15" name="Trend" dataDxfId="1198" totalsRowDxfId="1197" dataCellStyle="Comma 2"/>
    <tableColumn id="16" name="Q1" totalsRowFunction="custom" dataDxfId="1196" totalsRowDxfId="1195">
      <calculatedColumnFormula>IFERROR(AVERAGE(B41:D41),"")</calculatedColumnFormula>
      <totalsRowFormula>IFERROR(SUBTOTAL(101,tblTemplate7[Q1]),"")</totalsRowFormula>
    </tableColumn>
    <tableColumn id="17" name="Q2" totalsRowFunction="custom" dataDxfId="1194" totalsRowDxfId="1193">
      <calculatedColumnFormula>IFERROR(AVERAGE(E41:G41),"")</calculatedColumnFormula>
      <totalsRowFormula>IFERROR(SUBTOTAL(101,tblTemplate7[Q2]),"")</totalsRowFormula>
    </tableColumn>
    <tableColumn id="18" name="Q3" totalsRowFunction="custom" dataDxfId="1192" totalsRowDxfId="1191">
      <calculatedColumnFormula>IFERROR(AVERAGE(H41:J41),"")</calculatedColumnFormula>
      <totalsRowFormula>IFERROR(SUBTOTAL(101,tblTemplate7[Q3]),"")</totalsRowFormula>
    </tableColumn>
    <tableColumn id="19" name="Q4" totalsRowFunction="custom" dataDxfId="1190" totalsRowDxfId="1189">
      <calculatedColumnFormula>IFERROR(AVERAGE(K41:M41),"")</calculatedColumnFormula>
      <totalsRowFormula>IFERROR(SUBTOTAL(101,tblTemplate7[Q4]),"")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blTemplate8" displayName="tblTemplate8" ref="A46:S48" totalsRowCount="1" headerRowDxfId="1188" totalsRowDxfId="1186" tableBorderDxfId="1187" totalsRowBorderDxfId="1185">
  <tableColumns count="19">
    <tableColumn id="1" name="Name" totalsRowLabel="Grand Total" totalsRowDxfId="1184"/>
    <tableColumn id="2" name="January" totalsRowFunction="custom" dataDxfId="1183" totalsRowDxfId="1182">
      <totalsRowFormula>IFERROR(SUBTOTAL(101,tblTemplate8[January]),"")</totalsRowFormula>
    </tableColumn>
    <tableColumn id="3" name="February" totalsRowFunction="custom" dataDxfId="1181" totalsRowDxfId="1180">
      <totalsRowFormula>IFERROR(SUBTOTAL(101,tblTemplate8[February]),"")</totalsRowFormula>
    </tableColumn>
    <tableColumn id="4" name="March" totalsRowFunction="custom" dataDxfId="1179" totalsRowDxfId="1178">
      <totalsRowFormula>IFERROR(SUBTOTAL(101,tblTemplate8[March]),"")</totalsRowFormula>
    </tableColumn>
    <tableColumn id="5" name="April" totalsRowFunction="custom" dataDxfId="1177" totalsRowDxfId="1176">
      <totalsRowFormula>IFERROR(SUBTOTAL(101,tblTemplate8[April]),"")</totalsRowFormula>
    </tableColumn>
    <tableColumn id="6" name="May" totalsRowFunction="custom" dataDxfId="1175" totalsRowDxfId="1174">
      <totalsRowFormula>IFERROR(SUBTOTAL(101,tblTemplate8[May]),"")</totalsRowFormula>
    </tableColumn>
    <tableColumn id="7" name="June" totalsRowFunction="custom" dataDxfId="1173" totalsRowDxfId="1172">
      <totalsRowFormula>IFERROR(SUBTOTAL(101,tblTemplate8[June]),"")</totalsRowFormula>
    </tableColumn>
    <tableColumn id="8" name="July" totalsRowFunction="custom" dataDxfId="1171" totalsRowDxfId="1170">
      <totalsRowFormula>IFERROR(SUBTOTAL(101,tblTemplate8[July]),"")</totalsRowFormula>
    </tableColumn>
    <tableColumn id="9" name="August" totalsRowFunction="custom" dataDxfId="1169" totalsRowDxfId="1168">
      <totalsRowFormula>IFERROR(SUBTOTAL(101,tblTemplate8[August]),"")</totalsRowFormula>
    </tableColumn>
    <tableColumn id="10" name="September" totalsRowFunction="custom" dataDxfId="1167" totalsRowDxfId="1166">
      <totalsRowFormula>IFERROR(SUBTOTAL(101,tblTemplate8[September]),"")</totalsRowFormula>
    </tableColumn>
    <tableColumn id="11" name="October" totalsRowFunction="custom" dataDxfId="1165" totalsRowDxfId="1164">
      <totalsRowFormula>IFERROR(SUBTOTAL(101,tblTemplate8[October]),"")</totalsRowFormula>
    </tableColumn>
    <tableColumn id="12" name="November" totalsRowFunction="custom" dataDxfId="1163" totalsRowDxfId="1162">
      <totalsRowFormula>IFERROR(SUBTOTAL(101,tblTemplate8[November]),"")</totalsRowFormula>
    </tableColumn>
    <tableColumn id="13" name="December" totalsRowFunction="custom" dataDxfId="1161" totalsRowDxfId="1160">
      <totalsRowFormula>IFERROR(SUBTOTAL(101,tblTemplate8[December]),"")</totalsRowFormula>
    </tableColumn>
    <tableColumn id="14" name="December2" totalsRowFunction="custom" dataDxfId="1159" totalsRowDxfId="1158">
      <calculatedColumnFormula>IFERROR(AVERAGE(B47:M47),"")</calculatedColumnFormula>
      <totalsRowFormula>IFERROR(SUBTOTAL(101,tblTemplate8[December2]),"")</totalsRowFormula>
    </tableColumn>
    <tableColumn id="15" name="Trend" dataDxfId="1157" totalsRowDxfId="1156" dataCellStyle="Comma 2"/>
    <tableColumn id="16" name="Q1" totalsRowFunction="custom" dataDxfId="1155" totalsRowDxfId="1154">
      <calculatedColumnFormula>IFERROR(AVERAGE(B47:D47),"")</calculatedColumnFormula>
      <totalsRowFormula>IFERROR(SUBTOTAL(101,tblTemplate8[Q1]),"")</totalsRowFormula>
    </tableColumn>
    <tableColumn id="17" name="Q2" totalsRowFunction="custom" dataDxfId="1153" totalsRowDxfId="1152">
      <calculatedColumnFormula>IFERROR(AVERAGE(E47:G47),"")</calculatedColumnFormula>
      <totalsRowFormula>IFERROR(SUBTOTAL(101,tblTemplate8[Q2]),"")</totalsRowFormula>
    </tableColumn>
    <tableColumn id="18" name="Q3" totalsRowFunction="custom" dataDxfId="1151" totalsRowDxfId="1150">
      <calculatedColumnFormula>IFERROR(AVERAGE(H47:J47),"")</calculatedColumnFormula>
      <totalsRowFormula>IFERROR(SUBTOTAL(101,tblTemplate8[Q3]),"")</totalsRowFormula>
    </tableColumn>
    <tableColumn id="19" name="Q4" totalsRowFunction="custom" dataDxfId="1149" totalsRowDxfId="1148">
      <calculatedColumnFormula>IFERROR(AVERAGE(K47:M47),"")</calculatedColumnFormula>
      <totalsRowFormula>IFERROR(SUBTOTAL(101,tblTemplate8[Q4]),"")</totalsRow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blTemplate9" displayName="tblTemplate9" ref="A52:S54" totalsRowCount="1" headerRowDxfId="1147" totalsRowDxfId="1145" tableBorderDxfId="1146" totalsRowBorderDxfId="1144">
  <tableColumns count="19">
    <tableColumn id="1" name="Name" totalsRowLabel="Grand Total" totalsRowDxfId="1143"/>
    <tableColumn id="2" name="January" totalsRowFunction="custom" dataDxfId="1142" totalsRowDxfId="1141">
      <totalsRowFormula>IFERROR(SUBTOTAL(101,tblTemplate9[January]),"")</totalsRowFormula>
    </tableColumn>
    <tableColumn id="3" name="February" totalsRowFunction="custom" dataDxfId="1140" totalsRowDxfId="1139">
      <totalsRowFormula>IFERROR(SUBTOTAL(101,tblTemplate9[February]),"")</totalsRowFormula>
    </tableColumn>
    <tableColumn id="4" name="March" totalsRowFunction="custom" dataDxfId="1138" totalsRowDxfId="1137">
      <totalsRowFormula>IFERROR(SUBTOTAL(101,tblTemplate9[March]),"")</totalsRowFormula>
    </tableColumn>
    <tableColumn id="5" name="April" totalsRowFunction="custom" dataDxfId="1136" totalsRowDxfId="1135">
      <totalsRowFormula>IFERROR(SUBTOTAL(101,tblTemplate9[April]),"")</totalsRowFormula>
    </tableColumn>
    <tableColumn id="6" name="May" totalsRowFunction="custom" dataDxfId="1134" totalsRowDxfId="1133">
      <totalsRowFormula>IFERROR(SUBTOTAL(101,tblTemplate9[May]),"")</totalsRowFormula>
    </tableColumn>
    <tableColumn id="7" name="June" totalsRowFunction="custom" dataDxfId="1132" totalsRowDxfId="1131">
      <totalsRowFormula>IFERROR(SUBTOTAL(101,tblTemplate9[June]),"")</totalsRowFormula>
    </tableColumn>
    <tableColumn id="8" name="July" totalsRowFunction="custom" dataDxfId="1130" totalsRowDxfId="1129">
      <totalsRowFormula>IFERROR(SUBTOTAL(101,tblTemplate9[July]),"")</totalsRowFormula>
    </tableColumn>
    <tableColumn id="9" name="August" totalsRowFunction="custom" dataDxfId="1128" totalsRowDxfId="1127">
      <totalsRowFormula>IFERROR(SUBTOTAL(101,tblTemplate9[August]),"")</totalsRowFormula>
    </tableColumn>
    <tableColumn id="10" name="September" totalsRowFunction="custom" dataDxfId="1126" totalsRowDxfId="1125">
      <totalsRowFormula>IFERROR(SUBTOTAL(101,tblTemplate9[September]),"")</totalsRowFormula>
    </tableColumn>
    <tableColumn id="11" name="October" totalsRowFunction="custom" dataDxfId="1124" totalsRowDxfId="1123">
      <totalsRowFormula>IFERROR(SUBTOTAL(101,tblTemplate9[October]),"")</totalsRowFormula>
    </tableColumn>
    <tableColumn id="12" name="November" totalsRowFunction="custom" dataDxfId="1122" totalsRowDxfId="1121">
      <totalsRowFormula>IFERROR(SUBTOTAL(101,tblTemplate9[November]),"")</totalsRowFormula>
    </tableColumn>
    <tableColumn id="13" name="December" totalsRowFunction="custom" dataDxfId="1120" totalsRowDxfId="1119">
      <totalsRowFormula>IFERROR(SUBTOTAL(101,tblTemplate9[December]),"")</totalsRowFormula>
    </tableColumn>
    <tableColumn id="14" name="December2" totalsRowFunction="custom" dataDxfId="1118" totalsRowDxfId="1117">
      <calculatedColumnFormula>IFERROR(AVERAGE(B53:M53),"")</calculatedColumnFormula>
      <totalsRowFormula>IFERROR(SUBTOTAL(101,tblTemplate9[December2]),"")</totalsRowFormula>
    </tableColumn>
    <tableColumn id="15" name="Trend" dataDxfId="1116" totalsRowDxfId="1115" dataCellStyle="Comma 2"/>
    <tableColumn id="16" name="Q1" totalsRowFunction="custom" dataDxfId="1114" totalsRowDxfId="1113">
      <calculatedColumnFormula>IFERROR(AVERAGE(B53:D53),"")</calculatedColumnFormula>
      <totalsRowFormula>IFERROR(SUBTOTAL(101,tblTemplate9[Q1]),"")</totalsRowFormula>
    </tableColumn>
    <tableColumn id="17" name="Q2" totalsRowFunction="custom" dataDxfId="1112" totalsRowDxfId="1111">
      <calculatedColumnFormula>IFERROR(AVERAGE(E53:G53),"")</calculatedColumnFormula>
      <totalsRowFormula>IFERROR(SUBTOTAL(101,tblTemplate9[Q2]),"")</totalsRowFormula>
    </tableColumn>
    <tableColumn id="18" name="Q3" totalsRowFunction="custom" dataDxfId="1110" totalsRowDxfId="1109">
      <calculatedColumnFormula>IFERROR(AVERAGE(H53:J53),"")</calculatedColumnFormula>
      <totalsRowFormula>IFERROR(SUBTOTAL(101,tblTemplate9[Q3]),"")</totalsRowFormula>
    </tableColumn>
    <tableColumn id="19" name="Q4" totalsRowFunction="custom" dataDxfId="1108" totalsRowDxfId="1107">
      <calculatedColumnFormula>IFERROR(AVERAGE(K53:M53),"")</calculatedColumnFormula>
      <totalsRowFormula>IFERROR(SUBTOTAL(101,tblTemplate9[Q4]),"")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6.xml"/><Relationship Id="rId3" Type="http://schemas.openxmlformats.org/officeDocument/2006/relationships/table" Target="../tables/table21.xml"/><Relationship Id="rId7" Type="http://schemas.openxmlformats.org/officeDocument/2006/relationships/table" Target="../tables/table25.xml"/><Relationship Id="rId2" Type="http://schemas.openxmlformats.org/officeDocument/2006/relationships/table" Target="../tables/table20.xml"/><Relationship Id="rId1" Type="http://schemas.openxmlformats.org/officeDocument/2006/relationships/table" Target="../tables/table19.xml"/><Relationship Id="rId6" Type="http://schemas.openxmlformats.org/officeDocument/2006/relationships/table" Target="../tables/table24.xml"/><Relationship Id="rId5" Type="http://schemas.openxmlformats.org/officeDocument/2006/relationships/table" Target="../tables/table23.xml"/><Relationship Id="rId4" Type="http://schemas.openxmlformats.org/officeDocument/2006/relationships/table" Target="../tables/table22.xml"/><Relationship Id="rId9" Type="http://schemas.openxmlformats.org/officeDocument/2006/relationships/table" Target="../tables/table2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5.xml"/><Relationship Id="rId3" Type="http://schemas.openxmlformats.org/officeDocument/2006/relationships/table" Target="../tables/table30.xml"/><Relationship Id="rId7" Type="http://schemas.openxmlformats.org/officeDocument/2006/relationships/table" Target="../tables/table34.xml"/><Relationship Id="rId2" Type="http://schemas.openxmlformats.org/officeDocument/2006/relationships/table" Target="../tables/table29.xml"/><Relationship Id="rId1" Type="http://schemas.openxmlformats.org/officeDocument/2006/relationships/table" Target="../tables/table28.xml"/><Relationship Id="rId6" Type="http://schemas.openxmlformats.org/officeDocument/2006/relationships/table" Target="../tables/table33.xml"/><Relationship Id="rId5" Type="http://schemas.openxmlformats.org/officeDocument/2006/relationships/table" Target="../tables/table32.xml"/><Relationship Id="rId4" Type="http://schemas.openxmlformats.org/officeDocument/2006/relationships/table" Target="../tables/table31.xml"/><Relationship Id="rId9" Type="http://schemas.openxmlformats.org/officeDocument/2006/relationships/table" Target="../tables/table3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Template"/>
  <dimension ref="A1:S54"/>
  <sheetViews>
    <sheetView workbookViewId="0">
      <selection activeCell="N4" sqref="N4"/>
    </sheetView>
  </sheetViews>
  <sheetFormatPr defaultRowHeight="15" x14ac:dyDescent="0.25"/>
  <cols>
    <col min="1" max="1" width="14.140625" bestFit="1" customWidth="1"/>
    <col min="2" max="2" width="9.85546875" customWidth="1"/>
    <col min="3" max="3" width="11" customWidth="1"/>
    <col min="4" max="4" width="8.7109375" customWidth="1"/>
    <col min="5" max="8" width="7.7109375" bestFit="1" customWidth="1"/>
    <col min="9" max="9" width="9.28515625" customWidth="1"/>
    <col min="10" max="10" width="13" customWidth="1"/>
    <col min="11" max="11" width="10.28515625" customWidth="1"/>
    <col min="12" max="12" width="12.5703125" customWidth="1"/>
    <col min="13" max="13" width="12.28515625" customWidth="1"/>
    <col min="14" max="14" width="11.85546875" customWidth="1"/>
    <col min="15" max="15" width="13.85546875" customWidth="1"/>
    <col min="16" max="19" width="7.7109375" bestFit="1" customWidth="1"/>
  </cols>
  <sheetData>
    <row r="1" spans="1:19" ht="18.75" x14ac:dyDescent="0.3">
      <c r="A1" s="5"/>
    </row>
    <row r="3" spans="1:19" ht="18.75" x14ac:dyDescent="0.3">
      <c r="A3" s="4" t="str">
        <f>'Master Data'!B1</f>
        <v>Col1</v>
      </c>
    </row>
    <row r="4" spans="1:19" ht="15" customHeight="1" x14ac:dyDescent="0.25">
      <c r="A4" s="10" t="s">
        <v>43</v>
      </c>
      <c r="B4" s="10" t="s">
        <v>44</v>
      </c>
      <c r="C4" s="10" t="s">
        <v>1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  <c r="J4" s="10" t="s">
        <v>51</v>
      </c>
      <c r="K4" s="10" t="s">
        <v>52</v>
      </c>
      <c r="L4" s="10" t="s">
        <v>53</v>
      </c>
      <c r="M4" s="10" t="s">
        <v>54</v>
      </c>
      <c r="N4" s="9" t="s">
        <v>62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</row>
    <row r="5" spans="1:19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 t="str">
        <f>IFERROR(AVERAGE(B5:M5),"")</f>
        <v/>
      </c>
      <c r="O5" s="25"/>
      <c r="P5" s="14" t="str">
        <f>IFERROR(AVERAGE(B5:D5),"")</f>
        <v/>
      </c>
      <c r="Q5" s="14" t="str">
        <f>IFERROR(AVERAGE(E5:G5),"")</f>
        <v/>
      </c>
      <c r="R5" s="14" t="str">
        <f>IFERROR(AVERAGE(H5:J5),"")</f>
        <v/>
      </c>
      <c r="S5" s="14" t="str">
        <f>IFERROR(AVERAGE(K5:M5),"")</f>
        <v/>
      </c>
    </row>
    <row r="6" spans="1:19" ht="17.25" x14ac:dyDescent="0.4">
      <c r="A6" s="12" t="s">
        <v>60</v>
      </c>
      <c r="B6" s="16" t="str">
        <f>IFERROR(SUBTOTAL(101,tblTemplate1[January]),"")</f>
        <v/>
      </c>
      <c r="C6" s="16" t="str">
        <f>IFERROR(SUBTOTAL(101,tblTemplate1[February]),"")</f>
        <v/>
      </c>
      <c r="D6" s="16" t="str">
        <f>IFERROR(SUBTOTAL(101,tblTemplate1[March]),"")</f>
        <v/>
      </c>
      <c r="E6" s="16" t="str">
        <f>IFERROR(SUBTOTAL(101,tblTemplate1[April]),"")</f>
        <v/>
      </c>
      <c r="F6" s="16" t="str">
        <f>IFERROR(SUBTOTAL(101,tblTemplate1[May]),"")</f>
        <v/>
      </c>
      <c r="G6" s="16" t="str">
        <f>IFERROR(SUBTOTAL(101,tblTemplate1[June]),"")</f>
        <v/>
      </c>
      <c r="H6" s="16" t="str">
        <f>IFERROR(SUBTOTAL(101,tblTemplate1[July]),"")</f>
        <v/>
      </c>
      <c r="I6" s="16" t="str">
        <f>IFERROR(SUBTOTAL(101,tblTemplate1[August]),"")</f>
        <v/>
      </c>
      <c r="J6" s="16" t="str">
        <f>IFERROR(SUBTOTAL(101,tblTemplate1[September]),"")</f>
        <v/>
      </c>
      <c r="K6" s="16" t="str">
        <f>IFERROR(SUBTOTAL(101,tblTemplate1[October]),"")</f>
        <v/>
      </c>
      <c r="L6" s="16" t="str">
        <f>IFERROR(SUBTOTAL(101,tblTemplate1[November]),"")</f>
        <v/>
      </c>
      <c r="M6" s="16" t="str">
        <f>IFERROR(SUBTOTAL(101,tblTemplate1[December]),"")</f>
        <v/>
      </c>
      <c r="N6" s="16" t="str">
        <f>IFERROR(SUBTOTAL(101,tblTemplate1[December2]),"")</f>
        <v/>
      </c>
      <c r="O6" s="13"/>
      <c r="P6" s="16" t="str">
        <f>IFERROR(SUBTOTAL(101,tblTemplate1[Q1]),"")</f>
        <v/>
      </c>
      <c r="Q6" s="16" t="str">
        <f>IFERROR(SUBTOTAL(101,tblTemplate1[Q2]),"")</f>
        <v/>
      </c>
      <c r="R6" s="16" t="str">
        <f>IFERROR(SUBTOTAL(101,tblTemplate1[Q3]),"")</f>
        <v/>
      </c>
      <c r="S6" s="16" t="str">
        <f>IFERROR(SUBTOTAL(101,tblTemplate1[Q4]),"")</f>
        <v/>
      </c>
    </row>
    <row r="9" spans="1:19" ht="18.75" x14ac:dyDescent="0.3">
      <c r="A9" s="4" t="str">
        <f>'Master Data'!C1</f>
        <v>Col2</v>
      </c>
    </row>
    <row r="10" spans="1:19" ht="15" customHeight="1" x14ac:dyDescent="0.25">
      <c r="A10" s="10" t="s">
        <v>43</v>
      </c>
      <c r="B10" s="10" t="s">
        <v>44</v>
      </c>
      <c r="C10" s="10" t="s">
        <v>1</v>
      </c>
      <c r="D10" s="10" t="s">
        <v>45</v>
      </c>
      <c r="E10" s="10" t="s">
        <v>46</v>
      </c>
      <c r="F10" s="10" t="s">
        <v>47</v>
      </c>
      <c r="G10" s="10" t="s">
        <v>48</v>
      </c>
      <c r="H10" s="10" t="s">
        <v>49</v>
      </c>
      <c r="I10" s="10" t="s">
        <v>50</v>
      </c>
      <c r="J10" s="10" t="s">
        <v>51</v>
      </c>
      <c r="K10" s="10" t="s">
        <v>52</v>
      </c>
      <c r="L10" s="10" t="s">
        <v>53</v>
      </c>
      <c r="M10" s="10" t="s">
        <v>54</v>
      </c>
      <c r="N10" s="9" t="s">
        <v>62</v>
      </c>
      <c r="O10" s="11" t="s">
        <v>55</v>
      </c>
      <c r="P10" s="11" t="s">
        <v>56</v>
      </c>
      <c r="Q10" s="11" t="s">
        <v>57</v>
      </c>
      <c r="R10" s="11" t="s">
        <v>58</v>
      </c>
      <c r="S10" s="11" t="s">
        <v>59</v>
      </c>
    </row>
    <row r="11" spans="1:19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 t="str">
        <f>IFERROR(AVERAGE(B11:M11),"")</f>
        <v/>
      </c>
      <c r="O11" s="25"/>
      <c r="P11" s="14" t="str">
        <f>IFERROR(AVERAGE(B11:D11),"")</f>
        <v/>
      </c>
      <c r="Q11" s="14" t="str">
        <f>IFERROR(AVERAGE(E11:G11),"")</f>
        <v/>
      </c>
      <c r="R11" s="14" t="str">
        <f>IFERROR(AVERAGE(H11:J11),"")</f>
        <v/>
      </c>
      <c r="S11" s="14" t="str">
        <f>IFERROR(AVERAGE(K11:M11),"")</f>
        <v/>
      </c>
    </row>
    <row r="12" spans="1:19" ht="17.25" x14ac:dyDescent="0.4">
      <c r="A12" s="12" t="s">
        <v>60</v>
      </c>
      <c r="B12" s="16" t="str">
        <f>IFERROR(SUBTOTAL(101,tblTemplate2[January]),"")</f>
        <v/>
      </c>
      <c r="C12" s="16" t="str">
        <f>IFERROR(SUBTOTAL(101,tblTemplate2[February]),"")</f>
        <v/>
      </c>
      <c r="D12" s="16" t="str">
        <f>IFERROR(SUBTOTAL(101,tblTemplate2[March]),"")</f>
        <v/>
      </c>
      <c r="E12" s="16" t="str">
        <f>IFERROR(SUBTOTAL(101,tblTemplate2[April]),"")</f>
        <v/>
      </c>
      <c r="F12" s="16" t="str">
        <f>IFERROR(SUBTOTAL(101,tblTemplate2[May]),"")</f>
        <v/>
      </c>
      <c r="G12" s="16" t="str">
        <f>IFERROR(SUBTOTAL(101,tblTemplate2[June]),"")</f>
        <v/>
      </c>
      <c r="H12" s="16" t="str">
        <f>IFERROR(SUBTOTAL(101,tblTemplate2[July]),"")</f>
        <v/>
      </c>
      <c r="I12" s="16" t="str">
        <f>IFERROR(SUBTOTAL(101,tblTemplate2[August]),"")</f>
        <v/>
      </c>
      <c r="J12" s="16" t="str">
        <f>IFERROR(SUBTOTAL(101,tblTemplate2[September]),"")</f>
        <v/>
      </c>
      <c r="K12" s="16" t="str">
        <f>IFERROR(SUBTOTAL(101,tblTemplate2[October]),"")</f>
        <v/>
      </c>
      <c r="L12" s="16" t="str">
        <f>IFERROR(SUBTOTAL(101,tblTemplate2[November]),"")</f>
        <v/>
      </c>
      <c r="M12" s="16" t="str">
        <f>IFERROR(SUBTOTAL(101,tblTemplate2[December]),"")</f>
        <v/>
      </c>
      <c r="N12" s="16" t="str">
        <f>IFERROR(SUBTOTAL(101,tblTemplate2[December2]),"")</f>
        <v/>
      </c>
      <c r="O12" s="13"/>
      <c r="P12" s="16" t="str">
        <f>IFERROR(SUBTOTAL(101,tblTemplate2[Q1]),"")</f>
        <v/>
      </c>
      <c r="Q12" s="16" t="str">
        <f>IFERROR(SUBTOTAL(101,tblTemplate2[Q2]),"")</f>
        <v/>
      </c>
      <c r="R12" s="16" t="str">
        <f>IFERROR(SUBTOTAL(101,tblTemplate2[Q3]),"")</f>
        <v/>
      </c>
      <c r="S12" s="16" t="str">
        <f>IFERROR(SUBTOTAL(101,tblTemplate2[Q4]),"")</f>
        <v/>
      </c>
    </row>
    <row r="15" spans="1:19" ht="18.75" x14ac:dyDescent="0.3">
      <c r="A15" s="4" t="str">
        <f>'Master Data'!D1</f>
        <v>Col3</v>
      </c>
    </row>
    <row r="16" spans="1:19" ht="15" customHeight="1" x14ac:dyDescent="0.25">
      <c r="A16" s="10" t="s">
        <v>43</v>
      </c>
      <c r="B16" s="10" t="s">
        <v>44</v>
      </c>
      <c r="C16" s="10" t="s">
        <v>1</v>
      </c>
      <c r="D16" s="10" t="s">
        <v>45</v>
      </c>
      <c r="E16" s="10" t="s">
        <v>46</v>
      </c>
      <c r="F16" s="10" t="s">
        <v>47</v>
      </c>
      <c r="G16" s="10" t="s">
        <v>48</v>
      </c>
      <c r="H16" s="10" t="s">
        <v>49</v>
      </c>
      <c r="I16" s="10" t="s">
        <v>50</v>
      </c>
      <c r="J16" s="10" t="s">
        <v>51</v>
      </c>
      <c r="K16" s="10" t="s">
        <v>52</v>
      </c>
      <c r="L16" s="10" t="s">
        <v>53</v>
      </c>
      <c r="M16" s="10" t="s">
        <v>54</v>
      </c>
      <c r="N16" s="9" t="s">
        <v>62</v>
      </c>
      <c r="O16" s="11" t="s">
        <v>55</v>
      </c>
      <c r="P16" s="11" t="s">
        <v>56</v>
      </c>
      <c r="Q16" s="11" t="s">
        <v>57</v>
      </c>
      <c r="R16" s="11" t="s">
        <v>58</v>
      </c>
      <c r="S16" s="11" t="s">
        <v>59</v>
      </c>
    </row>
    <row r="17" spans="1:19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 t="str">
        <f>IFERROR(AVERAGE(B17:M17),"")</f>
        <v/>
      </c>
      <c r="O17" s="25"/>
      <c r="P17" s="14" t="str">
        <f>IFERROR(AVERAGE(B17:D17),"")</f>
        <v/>
      </c>
      <c r="Q17" s="14" t="str">
        <f>IFERROR(AVERAGE(E17:G17),"")</f>
        <v/>
      </c>
      <c r="R17" s="14" t="str">
        <f>IFERROR(AVERAGE(H17:J17),"")</f>
        <v/>
      </c>
      <c r="S17" s="14" t="str">
        <f>IFERROR(AVERAGE(K17:M17),"")</f>
        <v/>
      </c>
    </row>
    <row r="18" spans="1:19" ht="17.25" x14ac:dyDescent="0.4">
      <c r="A18" s="12" t="s">
        <v>60</v>
      </c>
      <c r="B18" s="16" t="str">
        <f>IFERROR(SUBTOTAL(101,tblTemplate3[January]),"")</f>
        <v/>
      </c>
      <c r="C18" s="16" t="str">
        <f>IFERROR(SUBTOTAL(101,tblTemplate3[February]),"")</f>
        <v/>
      </c>
      <c r="D18" s="16" t="str">
        <f>IFERROR(SUBTOTAL(101,tblTemplate3[March]),"")</f>
        <v/>
      </c>
      <c r="E18" s="16" t="str">
        <f>IFERROR(SUBTOTAL(101,tblTemplate3[April]),"")</f>
        <v/>
      </c>
      <c r="F18" s="16" t="str">
        <f>IFERROR(SUBTOTAL(101,tblTemplate3[May]),"")</f>
        <v/>
      </c>
      <c r="G18" s="16" t="str">
        <f>IFERROR(SUBTOTAL(101,tblTemplate3[June]),"")</f>
        <v/>
      </c>
      <c r="H18" s="16" t="str">
        <f>IFERROR(SUBTOTAL(101,tblTemplate3[July]),"")</f>
        <v/>
      </c>
      <c r="I18" s="16" t="str">
        <f>IFERROR(SUBTOTAL(101,tblTemplate3[August]),"")</f>
        <v/>
      </c>
      <c r="J18" s="16" t="str">
        <f>IFERROR(SUBTOTAL(101,tblTemplate3[September]),"")</f>
        <v/>
      </c>
      <c r="K18" s="16" t="str">
        <f>IFERROR(SUBTOTAL(101,tblTemplate3[October]),"")</f>
        <v/>
      </c>
      <c r="L18" s="16" t="str">
        <f>IFERROR(SUBTOTAL(101,tblTemplate3[November]),"")</f>
        <v/>
      </c>
      <c r="M18" s="16" t="str">
        <f>IFERROR(SUBTOTAL(101,tblTemplate3[December]),"")</f>
        <v/>
      </c>
      <c r="N18" s="16" t="str">
        <f>IFERROR(SUBTOTAL(101,tblTemplate3[December2]),"")</f>
        <v/>
      </c>
      <c r="O18" s="13"/>
      <c r="P18" s="16" t="str">
        <f>IFERROR(SUBTOTAL(101,tblTemplate3[Q1]),"")</f>
        <v/>
      </c>
      <c r="Q18" s="16" t="str">
        <f>IFERROR(SUBTOTAL(101,tblTemplate3[Q2]),"")</f>
        <v/>
      </c>
      <c r="R18" s="16" t="str">
        <f>IFERROR(SUBTOTAL(101,tblTemplate3[Q3]),"")</f>
        <v/>
      </c>
      <c r="S18" s="16" t="str">
        <f>IFERROR(SUBTOTAL(101,tblTemplate3[Q4]),"")</f>
        <v/>
      </c>
    </row>
    <row r="21" spans="1:19" ht="18.75" x14ac:dyDescent="0.3">
      <c r="A21" s="4" t="str">
        <f>'Master Data'!E1</f>
        <v>Col4</v>
      </c>
    </row>
    <row r="22" spans="1:19" ht="15" customHeight="1" x14ac:dyDescent="0.25">
      <c r="A22" s="10" t="s">
        <v>43</v>
      </c>
      <c r="B22" s="10" t="s">
        <v>44</v>
      </c>
      <c r="C22" s="10" t="s">
        <v>1</v>
      </c>
      <c r="D22" s="10" t="s">
        <v>45</v>
      </c>
      <c r="E22" s="10" t="s">
        <v>46</v>
      </c>
      <c r="F22" s="10" t="s">
        <v>47</v>
      </c>
      <c r="G22" s="10" t="s">
        <v>48</v>
      </c>
      <c r="H22" s="10" t="s">
        <v>49</v>
      </c>
      <c r="I22" s="10" t="s">
        <v>50</v>
      </c>
      <c r="J22" s="10" t="s">
        <v>51</v>
      </c>
      <c r="K22" s="10" t="s">
        <v>52</v>
      </c>
      <c r="L22" s="10" t="s">
        <v>53</v>
      </c>
      <c r="M22" s="10" t="s">
        <v>54</v>
      </c>
      <c r="N22" s="9" t="s">
        <v>62</v>
      </c>
      <c r="O22" s="11" t="s">
        <v>55</v>
      </c>
      <c r="P22" s="11" t="s">
        <v>56</v>
      </c>
      <c r="Q22" s="11" t="s">
        <v>57</v>
      </c>
      <c r="R22" s="11" t="s">
        <v>58</v>
      </c>
      <c r="S22" s="11" t="s">
        <v>59</v>
      </c>
    </row>
    <row r="23" spans="1:19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0" t="str">
        <f>IFERROR(AVERAGE(B23:M23),"")</f>
        <v/>
      </c>
      <c r="O23" s="25"/>
      <c r="P23" s="22" t="str">
        <f>IFERROR(AVERAGE(B23:D23),"")</f>
        <v/>
      </c>
      <c r="Q23" s="22" t="str">
        <f>IFERROR(AVERAGE(E23:G23),"")</f>
        <v/>
      </c>
      <c r="R23" s="22" t="str">
        <f>IFERROR(AVERAGE(H23:J23),"")</f>
        <v/>
      </c>
      <c r="S23" s="22" t="str">
        <f>IFERROR(AVERAGE(K23:M23),"")</f>
        <v/>
      </c>
    </row>
    <row r="24" spans="1:19" ht="17.25" x14ac:dyDescent="0.4">
      <c r="A24" s="12" t="s">
        <v>60</v>
      </c>
      <c r="B24" s="17" t="str">
        <f>IFERROR(SUBTOTAL(101,tblTemplate4[January]),"")</f>
        <v/>
      </c>
      <c r="C24" s="17" t="str">
        <f>IFERROR(SUBTOTAL(101,tblTemplate4[February]),"")</f>
        <v/>
      </c>
      <c r="D24" s="17" t="str">
        <f>IFERROR(SUBTOTAL(101,tblTemplate4[March]),"")</f>
        <v/>
      </c>
      <c r="E24" s="17" t="str">
        <f>IFERROR(SUBTOTAL(101,tblTemplate4[April]),"")</f>
        <v/>
      </c>
      <c r="F24" s="17" t="str">
        <f>IFERROR(SUBTOTAL(101,tblTemplate4[May]),"")</f>
        <v/>
      </c>
      <c r="G24" s="17" t="str">
        <f>IFERROR(SUBTOTAL(101,tblTemplate4[June]),"")</f>
        <v/>
      </c>
      <c r="H24" s="17" t="str">
        <f>IFERROR(SUBTOTAL(101,tblTemplate4[July]),"")</f>
        <v/>
      </c>
      <c r="I24" s="17" t="str">
        <f>IFERROR(SUBTOTAL(101,tblTemplate4[August]),"")</f>
        <v/>
      </c>
      <c r="J24" s="17" t="str">
        <f>IFERROR(SUBTOTAL(101,tblTemplate4[September]),"")</f>
        <v/>
      </c>
      <c r="K24" s="17" t="str">
        <f>IFERROR(SUBTOTAL(101,tblTemplate4[October]),"")</f>
        <v/>
      </c>
      <c r="L24" s="17" t="str">
        <f>IFERROR(SUBTOTAL(101,tblTemplate4[November]),"")</f>
        <v/>
      </c>
      <c r="M24" s="17" t="str">
        <f>IFERROR(SUBTOTAL(101,tblTemplate4[December]),"")</f>
        <v/>
      </c>
      <c r="N24" s="21" t="str">
        <f>IFERROR(SUBTOTAL(101,tblTemplate4[December2]),"")</f>
        <v/>
      </c>
      <c r="O24" s="13"/>
      <c r="P24" s="21" t="str">
        <f>IFERROR(SUBTOTAL(101,tblTemplate4[Q1]),"")</f>
        <v/>
      </c>
      <c r="Q24" s="21" t="str">
        <f>IFERROR(SUBTOTAL(101,tblTemplate4[Q2]),"")</f>
        <v/>
      </c>
      <c r="R24" s="21" t="str">
        <f>IFERROR(SUBTOTAL(101,tblTemplate4[Q3]),"")</f>
        <v/>
      </c>
      <c r="S24" s="21" t="str">
        <f>IFERROR(SUBTOTAL(101,tblTemplate4[Q4]),"")</f>
        <v/>
      </c>
    </row>
    <row r="27" spans="1:19" ht="18.75" x14ac:dyDescent="0.3">
      <c r="A27" s="4" t="str">
        <f>'Master Data'!F1</f>
        <v>Col5</v>
      </c>
    </row>
    <row r="28" spans="1:19" ht="15" customHeight="1" x14ac:dyDescent="0.25">
      <c r="A28" s="10" t="s">
        <v>43</v>
      </c>
      <c r="B28" s="10" t="s">
        <v>44</v>
      </c>
      <c r="C28" s="10" t="s">
        <v>1</v>
      </c>
      <c r="D28" s="10" t="s">
        <v>45</v>
      </c>
      <c r="E28" s="10" t="s">
        <v>46</v>
      </c>
      <c r="F28" s="10" t="s">
        <v>47</v>
      </c>
      <c r="G28" s="10" t="s">
        <v>48</v>
      </c>
      <c r="H28" s="10" t="s">
        <v>49</v>
      </c>
      <c r="I28" s="10" t="s">
        <v>50</v>
      </c>
      <c r="J28" s="10" t="s">
        <v>51</v>
      </c>
      <c r="K28" s="10" t="s">
        <v>52</v>
      </c>
      <c r="L28" s="10" t="s">
        <v>53</v>
      </c>
      <c r="M28" s="10" t="s">
        <v>54</v>
      </c>
      <c r="N28" s="9" t="s">
        <v>62</v>
      </c>
      <c r="O28" s="11" t="s">
        <v>55</v>
      </c>
      <c r="P28" s="11" t="s">
        <v>56</v>
      </c>
      <c r="Q28" s="11" t="s">
        <v>57</v>
      </c>
      <c r="R28" s="11" t="s">
        <v>58</v>
      </c>
      <c r="S28" s="11" t="s">
        <v>59</v>
      </c>
    </row>
    <row r="29" spans="1:19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0" t="str">
        <f>IFERROR(AVERAGE(B29:M29),"")</f>
        <v/>
      </c>
      <c r="O29" s="25"/>
      <c r="P29" s="22" t="str">
        <f>IFERROR(AVERAGE(B29:D29),"")</f>
        <v/>
      </c>
      <c r="Q29" s="22" t="str">
        <f>IFERROR(AVERAGE(E29:G29),"")</f>
        <v/>
      </c>
      <c r="R29" s="22" t="str">
        <f>IFERROR(AVERAGE(H29:J29),"")</f>
        <v/>
      </c>
      <c r="S29" s="22" t="str">
        <f>IFERROR(AVERAGE(K29:M29),"")</f>
        <v/>
      </c>
    </row>
    <row r="30" spans="1:19" ht="17.25" x14ac:dyDescent="0.4">
      <c r="A30" s="12" t="s">
        <v>60</v>
      </c>
      <c r="B30" s="17" t="str">
        <f>IFERROR(SUBTOTAL(101,tblTemplate5[January]),"")</f>
        <v/>
      </c>
      <c r="C30" s="17" t="str">
        <f>IFERROR(SUBTOTAL(101,tblTemplate5[February]),"")</f>
        <v/>
      </c>
      <c r="D30" s="17" t="str">
        <f>IFERROR(SUBTOTAL(101,tblTemplate5[March]),"")</f>
        <v/>
      </c>
      <c r="E30" s="17" t="str">
        <f>IFERROR(SUBTOTAL(101,tblTemplate5[April]),"")</f>
        <v/>
      </c>
      <c r="F30" s="17" t="str">
        <f>IFERROR(SUBTOTAL(101,tblTemplate5[May]),"")</f>
        <v/>
      </c>
      <c r="G30" s="17" t="str">
        <f>IFERROR(SUBTOTAL(101,tblTemplate5[June]),"")</f>
        <v/>
      </c>
      <c r="H30" s="17" t="str">
        <f>IFERROR(SUBTOTAL(101,tblTemplate5[July]),"")</f>
        <v/>
      </c>
      <c r="I30" s="17" t="str">
        <f>IFERROR(SUBTOTAL(101,tblTemplate5[August]),"")</f>
        <v/>
      </c>
      <c r="J30" s="17" t="str">
        <f>IFERROR(SUBTOTAL(101,tblTemplate5[September]),"")</f>
        <v/>
      </c>
      <c r="K30" s="17" t="str">
        <f>IFERROR(SUBTOTAL(101,tblTemplate5[October]),"")</f>
        <v/>
      </c>
      <c r="L30" s="17" t="str">
        <f>IFERROR(SUBTOTAL(101,tblTemplate5[November]),"")</f>
        <v/>
      </c>
      <c r="M30" s="17" t="str">
        <f>IFERROR(SUBTOTAL(101,tblTemplate5[December]),"")</f>
        <v/>
      </c>
      <c r="N30" s="21" t="str">
        <f>IFERROR(SUBTOTAL(101,tblTemplate5[December2]),"")</f>
        <v/>
      </c>
      <c r="O30" s="13"/>
      <c r="P30" s="21" t="str">
        <f>IFERROR(SUBTOTAL(101,tblTemplate5[Q1]),"")</f>
        <v/>
      </c>
      <c r="Q30" s="21" t="str">
        <f>IFERROR(SUBTOTAL(101,tblTemplate5[Q2]),"")</f>
        <v/>
      </c>
      <c r="R30" s="21" t="str">
        <f>IFERROR(SUBTOTAL(101,tblTemplate5[Q3]),"")</f>
        <v/>
      </c>
      <c r="S30" s="21" t="str">
        <f>IFERROR(SUBTOTAL(101,tblTemplate5[Q4]),"")</f>
        <v/>
      </c>
    </row>
    <row r="33" spans="1:19" ht="18.75" x14ac:dyDescent="0.3">
      <c r="A33" s="4" t="str">
        <f>'Master Data'!G1</f>
        <v>Col6</v>
      </c>
    </row>
    <row r="34" spans="1:19" ht="15" customHeight="1" x14ac:dyDescent="0.25">
      <c r="A34" s="10" t="s">
        <v>43</v>
      </c>
      <c r="B34" s="10" t="s">
        <v>44</v>
      </c>
      <c r="C34" s="10" t="s">
        <v>1</v>
      </c>
      <c r="D34" s="10" t="s">
        <v>45</v>
      </c>
      <c r="E34" s="10" t="s">
        <v>46</v>
      </c>
      <c r="F34" s="10" t="s">
        <v>47</v>
      </c>
      <c r="G34" s="10" t="s">
        <v>48</v>
      </c>
      <c r="H34" s="10" t="s">
        <v>49</v>
      </c>
      <c r="I34" s="10" t="s">
        <v>50</v>
      </c>
      <c r="J34" s="10" t="s">
        <v>51</v>
      </c>
      <c r="K34" s="10" t="s">
        <v>52</v>
      </c>
      <c r="L34" s="10" t="s">
        <v>53</v>
      </c>
      <c r="M34" s="10" t="s">
        <v>54</v>
      </c>
      <c r="N34" s="9" t="s">
        <v>62</v>
      </c>
      <c r="O34" s="11" t="s">
        <v>55</v>
      </c>
      <c r="P34" s="11" t="s">
        <v>56</v>
      </c>
      <c r="Q34" s="11" t="s">
        <v>57</v>
      </c>
      <c r="R34" s="11" t="s">
        <v>58</v>
      </c>
      <c r="S34" s="11" t="s">
        <v>59</v>
      </c>
    </row>
    <row r="35" spans="1:19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0" t="str">
        <f>IFERROR(AVERAGE(B35:M35),"")</f>
        <v/>
      </c>
      <c r="O35" s="25"/>
      <c r="P35" s="22" t="str">
        <f>IFERROR(AVERAGE(B35:D35),"")</f>
        <v/>
      </c>
      <c r="Q35" s="22" t="str">
        <f>IFERROR(AVERAGE(E35:G35),"")</f>
        <v/>
      </c>
      <c r="R35" s="22" t="str">
        <f>IFERROR(AVERAGE(H35:J35),"")</f>
        <v/>
      </c>
      <c r="S35" s="22" t="str">
        <f>IFERROR(AVERAGE(K35:M35),"")</f>
        <v/>
      </c>
    </row>
    <row r="36" spans="1:19" ht="17.25" x14ac:dyDescent="0.4">
      <c r="A36" s="12" t="s">
        <v>60</v>
      </c>
      <c r="B36" s="17" t="str">
        <f>IFERROR(SUBTOTAL(101,tblTemplate6[January]),"")</f>
        <v/>
      </c>
      <c r="C36" s="17" t="str">
        <f>IFERROR(SUBTOTAL(101,tblTemplate6[February]),"")</f>
        <v/>
      </c>
      <c r="D36" s="17" t="str">
        <f>IFERROR(SUBTOTAL(101,tblTemplate6[March]),"")</f>
        <v/>
      </c>
      <c r="E36" s="17" t="str">
        <f>IFERROR(SUBTOTAL(101,tblTemplate6[April]),"")</f>
        <v/>
      </c>
      <c r="F36" s="17" t="str">
        <f>IFERROR(SUBTOTAL(101,tblTemplate6[May]),"")</f>
        <v/>
      </c>
      <c r="G36" s="17" t="str">
        <f>IFERROR(SUBTOTAL(101,tblTemplate6[June]),"")</f>
        <v/>
      </c>
      <c r="H36" s="17" t="str">
        <f>IFERROR(SUBTOTAL(101,tblTemplate6[July]),"")</f>
        <v/>
      </c>
      <c r="I36" s="17" t="str">
        <f>IFERROR(SUBTOTAL(101,tblTemplate6[August]),"")</f>
        <v/>
      </c>
      <c r="J36" s="17" t="str">
        <f>IFERROR(SUBTOTAL(101,tblTemplate6[September]),"")</f>
        <v/>
      </c>
      <c r="K36" s="17" t="str">
        <f>IFERROR(SUBTOTAL(101,tblTemplate6[October]),"")</f>
        <v/>
      </c>
      <c r="L36" s="17" t="str">
        <f>IFERROR(SUBTOTAL(101,tblTemplate6[November]),"")</f>
        <v/>
      </c>
      <c r="M36" s="17" t="str">
        <f>IFERROR(SUBTOTAL(101,tblTemplate6[December]),"")</f>
        <v/>
      </c>
      <c r="N36" s="21" t="str">
        <f>IFERROR(SUBTOTAL(101,tblTemplate6[December2]),"")</f>
        <v/>
      </c>
      <c r="O36" s="13"/>
      <c r="P36" s="21" t="str">
        <f>IFERROR(SUBTOTAL(101,tblTemplate6[Q1]),"")</f>
        <v/>
      </c>
      <c r="Q36" s="21" t="str">
        <f>IFERROR(SUBTOTAL(101,tblTemplate6[Q2]),"")</f>
        <v/>
      </c>
      <c r="R36" s="21" t="str">
        <f>IFERROR(SUBTOTAL(101,tblTemplate6[Q3]),"")</f>
        <v/>
      </c>
      <c r="S36" s="21" t="str">
        <f>IFERROR(SUBTOTAL(101,tblTemplate6[Q4]),"")</f>
        <v/>
      </c>
    </row>
    <row r="39" spans="1:19" ht="18.75" x14ac:dyDescent="0.3">
      <c r="A39" s="4" t="str">
        <f>'Master Data'!H1</f>
        <v>Col7</v>
      </c>
    </row>
    <row r="40" spans="1:19" ht="15" customHeight="1" x14ac:dyDescent="0.25">
      <c r="A40" s="10" t="s">
        <v>43</v>
      </c>
      <c r="B40" s="10" t="s">
        <v>44</v>
      </c>
      <c r="C40" s="10" t="s">
        <v>1</v>
      </c>
      <c r="D40" s="10" t="s">
        <v>45</v>
      </c>
      <c r="E40" s="10" t="s">
        <v>46</v>
      </c>
      <c r="F40" s="10" t="s">
        <v>47</v>
      </c>
      <c r="G40" s="10" t="s">
        <v>48</v>
      </c>
      <c r="H40" s="10" t="s">
        <v>49</v>
      </c>
      <c r="I40" s="10" t="s">
        <v>50</v>
      </c>
      <c r="J40" s="10" t="s">
        <v>51</v>
      </c>
      <c r="K40" s="10" t="s">
        <v>52</v>
      </c>
      <c r="L40" s="10" t="s">
        <v>53</v>
      </c>
      <c r="M40" s="10" t="s">
        <v>54</v>
      </c>
      <c r="N40" s="9" t="s">
        <v>62</v>
      </c>
      <c r="O40" s="11" t="s">
        <v>55</v>
      </c>
      <c r="P40" s="11" t="s">
        <v>56</v>
      </c>
      <c r="Q40" s="11" t="s">
        <v>57</v>
      </c>
      <c r="R40" s="11" t="s">
        <v>58</v>
      </c>
      <c r="S40" s="11" t="s">
        <v>59</v>
      </c>
    </row>
    <row r="41" spans="1:19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0" t="str">
        <f>IFERROR(AVERAGE(B41:M41),"")</f>
        <v/>
      </c>
      <c r="O41" s="25"/>
      <c r="P41" s="22" t="str">
        <f>IFERROR(AVERAGE(B41:D41),"")</f>
        <v/>
      </c>
      <c r="Q41" s="22" t="str">
        <f>IFERROR(AVERAGE(E41:G41),"")</f>
        <v/>
      </c>
      <c r="R41" s="22" t="str">
        <f>IFERROR(AVERAGE(H41:J41),"")</f>
        <v/>
      </c>
      <c r="S41" s="22" t="str">
        <f>IFERROR(AVERAGE(K41:M41),"")</f>
        <v/>
      </c>
    </row>
    <row r="42" spans="1:19" ht="17.25" x14ac:dyDescent="0.4">
      <c r="A42" s="12" t="s">
        <v>61</v>
      </c>
      <c r="B42" s="19" t="str">
        <f>IFERROR(SUBTOTAL(101,tblTemplate7[January]),"")</f>
        <v/>
      </c>
      <c r="C42" s="19" t="str">
        <f>IFERROR(SUBTOTAL(101,tblTemplate7[February]),"")</f>
        <v/>
      </c>
      <c r="D42" s="19" t="str">
        <f>IFERROR(SUBTOTAL(101,tblTemplate7[March]),"")</f>
        <v/>
      </c>
      <c r="E42" s="19" t="str">
        <f>IFERROR(SUBTOTAL(101,tblTemplate7[April]),"")</f>
        <v/>
      </c>
      <c r="F42" s="19" t="str">
        <f>IFERROR(SUBTOTAL(101,tblTemplate7[May]),"")</f>
        <v/>
      </c>
      <c r="G42" s="19" t="str">
        <f>IFERROR(SUBTOTAL(101,tblTemplate7[June]),"")</f>
        <v/>
      </c>
      <c r="H42" s="19" t="str">
        <f>IFERROR(SUBTOTAL(101,tblTemplate7[July]),"")</f>
        <v/>
      </c>
      <c r="I42" s="19" t="str">
        <f>IFERROR(SUBTOTAL(101,tblTemplate7[August]),"")</f>
        <v/>
      </c>
      <c r="J42" s="19" t="str">
        <f>IFERROR(SUBTOTAL(101,tblTemplate7[September]),"")</f>
        <v/>
      </c>
      <c r="K42" s="19" t="str">
        <f>IFERROR(SUBTOTAL(101,tblTemplate7[October]),"")</f>
        <v/>
      </c>
      <c r="L42" s="19" t="str">
        <f>IFERROR(SUBTOTAL(101,tblTemplate7[November]),"")</f>
        <v/>
      </c>
      <c r="M42" s="19" t="str">
        <f>IFERROR(SUBTOTAL(101,tblTemplate7[December]),"")</f>
        <v/>
      </c>
      <c r="N42" s="21" t="str">
        <f>IFERROR(SUBTOTAL(101,tblTemplate7[December2]),"")</f>
        <v/>
      </c>
      <c r="O42" s="13"/>
      <c r="P42" s="21" t="str">
        <f>IFERROR(SUBTOTAL(101,tblTemplate7[Q1]),"")</f>
        <v/>
      </c>
      <c r="Q42" s="21" t="str">
        <f>IFERROR(SUBTOTAL(101,tblTemplate7[Q2]),"")</f>
        <v/>
      </c>
      <c r="R42" s="21" t="str">
        <f>IFERROR(SUBTOTAL(101,tblTemplate7[Q3]),"")</f>
        <v/>
      </c>
      <c r="S42" s="21" t="str">
        <f>IFERROR(SUBTOTAL(101,tblTemplate7[Q4]),"")</f>
        <v/>
      </c>
    </row>
    <row r="45" spans="1:19" ht="18.75" x14ac:dyDescent="0.3">
      <c r="A45" s="4" t="str">
        <f>'Master Data'!I1</f>
        <v>Col8</v>
      </c>
    </row>
    <row r="46" spans="1:19" ht="15" customHeight="1" x14ac:dyDescent="0.25">
      <c r="A46" s="10" t="s">
        <v>43</v>
      </c>
      <c r="B46" s="10" t="s">
        <v>44</v>
      </c>
      <c r="C46" s="10" t="s">
        <v>1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  <c r="J46" s="10" t="s">
        <v>51</v>
      </c>
      <c r="K46" s="10" t="s">
        <v>52</v>
      </c>
      <c r="L46" s="10" t="s">
        <v>53</v>
      </c>
      <c r="M46" s="10" t="s">
        <v>54</v>
      </c>
      <c r="N46" s="9" t="s">
        <v>62</v>
      </c>
      <c r="O46" s="11" t="s">
        <v>55</v>
      </c>
      <c r="P46" s="11" t="s">
        <v>56</v>
      </c>
      <c r="Q46" s="11" t="s">
        <v>57</v>
      </c>
      <c r="R46" s="11" t="s">
        <v>58</v>
      </c>
      <c r="S46" s="11" t="s">
        <v>59</v>
      </c>
    </row>
    <row r="47" spans="1:19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0" t="str">
        <f>IFERROR(AVERAGE(B47:M47),"")</f>
        <v/>
      </c>
      <c r="O47" s="25"/>
      <c r="P47" s="22" t="str">
        <f>IFERROR(AVERAGE(B47:D47),"")</f>
        <v/>
      </c>
      <c r="Q47" s="22" t="str">
        <f>IFERROR(AVERAGE(E47:G47),"")</f>
        <v/>
      </c>
      <c r="R47" s="22" t="str">
        <f>IFERROR(AVERAGE(H47:J47),"")</f>
        <v/>
      </c>
      <c r="S47" s="22" t="str">
        <f>IFERROR(AVERAGE(K47:M47),"")</f>
        <v/>
      </c>
    </row>
    <row r="48" spans="1:19" ht="17.25" x14ac:dyDescent="0.4">
      <c r="A48" s="12" t="s">
        <v>60</v>
      </c>
      <c r="B48" s="17" t="str">
        <f>IFERROR(SUBTOTAL(101,tblTemplate8[January]),"")</f>
        <v/>
      </c>
      <c r="C48" s="17" t="str">
        <f>IFERROR(SUBTOTAL(101,tblTemplate8[February]),"")</f>
        <v/>
      </c>
      <c r="D48" s="17" t="str">
        <f>IFERROR(SUBTOTAL(101,tblTemplate8[March]),"")</f>
        <v/>
      </c>
      <c r="E48" s="17" t="str">
        <f>IFERROR(SUBTOTAL(101,tblTemplate8[April]),"")</f>
        <v/>
      </c>
      <c r="F48" s="17" t="str">
        <f>IFERROR(SUBTOTAL(101,tblTemplate8[May]),"")</f>
        <v/>
      </c>
      <c r="G48" s="17" t="str">
        <f>IFERROR(SUBTOTAL(101,tblTemplate8[June]),"")</f>
        <v/>
      </c>
      <c r="H48" s="17" t="str">
        <f>IFERROR(SUBTOTAL(101,tblTemplate8[July]),"")</f>
        <v/>
      </c>
      <c r="I48" s="17" t="str">
        <f>IFERROR(SUBTOTAL(101,tblTemplate8[August]),"")</f>
        <v/>
      </c>
      <c r="J48" s="17" t="str">
        <f>IFERROR(SUBTOTAL(101,tblTemplate8[September]),"")</f>
        <v/>
      </c>
      <c r="K48" s="17" t="str">
        <f>IFERROR(SUBTOTAL(101,tblTemplate8[October]),"")</f>
        <v/>
      </c>
      <c r="L48" s="17" t="str">
        <f>IFERROR(SUBTOTAL(101,tblTemplate8[November]),"")</f>
        <v/>
      </c>
      <c r="M48" s="17" t="str">
        <f>IFERROR(SUBTOTAL(101,tblTemplate8[December]),"")</f>
        <v/>
      </c>
      <c r="N48" s="21" t="str">
        <f>IFERROR(SUBTOTAL(101,tblTemplate8[December2]),"")</f>
        <v/>
      </c>
      <c r="O48" s="13"/>
      <c r="P48" s="21" t="str">
        <f>IFERROR(SUBTOTAL(101,tblTemplate8[Q1]),"")</f>
        <v/>
      </c>
      <c r="Q48" s="21" t="str">
        <f>IFERROR(SUBTOTAL(101,tblTemplate8[Q2]),"")</f>
        <v/>
      </c>
      <c r="R48" s="21" t="str">
        <f>IFERROR(SUBTOTAL(101,tblTemplate8[Q3]),"")</f>
        <v/>
      </c>
      <c r="S48" s="21" t="str">
        <f>IFERROR(SUBTOTAL(101,tblTemplate8[Q4]),"")</f>
        <v/>
      </c>
    </row>
    <row r="51" spans="1:19" ht="18.75" x14ac:dyDescent="0.3">
      <c r="A51" s="4" t="str">
        <f>'Master Data'!J1</f>
        <v>Col9</v>
      </c>
    </row>
    <row r="52" spans="1:19" ht="15" customHeight="1" x14ac:dyDescent="0.25">
      <c r="A52" s="10" t="s">
        <v>43</v>
      </c>
      <c r="B52" s="10" t="s">
        <v>44</v>
      </c>
      <c r="C52" s="10" t="s">
        <v>1</v>
      </c>
      <c r="D52" s="10" t="s">
        <v>45</v>
      </c>
      <c r="E52" s="10" t="s">
        <v>46</v>
      </c>
      <c r="F52" s="10" t="s">
        <v>47</v>
      </c>
      <c r="G52" s="10" t="s">
        <v>48</v>
      </c>
      <c r="H52" s="10" t="s">
        <v>49</v>
      </c>
      <c r="I52" s="10" t="s">
        <v>50</v>
      </c>
      <c r="J52" s="10" t="s">
        <v>51</v>
      </c>
      <c r="K52" s="10" t="s">
        <v>52</v>
      </c>
      <c r="L52" s="10" t="s">
        <v>53</v>
      </c>
      <c r="M52" s="10" t="s">
        <v>54</v>
      </c>
      <c r="N52" s="9" t="s">
        <v>62</v>
      </c>
      <c r="O52" s="11" t="s">
        <v>55</v>
      </c>
      <c r="P52" s="11" t="s">
        <v>56</v>
      </c>
      <c r="Q52" s="11" t="s">
        <v>57</v>
      </c>
      <c r="R52" s="11" t="s">
        <v>58</v>
      </c>
      <c r="S52" s="11" t="s">
        <v>59</v>
      </c>
    </row>
    <row r="53" spans="1:19" ht="17.25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0" t="str">
        <f>IFERROR(AVERAGE(B53:M53),"")</f>
        <v/>
      </c>
      <c r="O53" s="3"/>
      <c r="P53" s="22" t="str">
        <f>IFERROR(AVERAGE(B53:D53),"")</f>
        <v/>
      </c>
      <c r="Q53" s="22" t="str">
        <f>IFERROR(AVERAGE(E53:G53),"")</f>
        <v/>
      </c>
      <c r="R53" s="22" t="str">
        <f>IFERROR(AVERAGE(H53:J53),"")</f>
        <v/>
      </c>
      <c r="S53" s="22" t="str">
        <f>IFERROR(AVERAGE(K53:M53),"")</f>
        <v/>
      </c>
    </row>
    <row r="54" spans="1:19" ht="17.25" x14ac:dyDescent="0.4">
      <c r="A54" s="12" t="s">
        <v>60</v>
      </c>
      <c r="B54" s="17" t="str">
        <f>IFERROR(SUBTOTAL(101,tblTemplate9[January]),"")</f>
        <v/>
      </c>
      <c r="C54" s="17" t="str">
        <f>IFERROR(SUBTOTAL(101,tblTemplate9[February]),"")</f>
        <v/>
      </c>
      <c r="D54" s="17" t="str">
        <f>IFERROR(SUBTOTAL(101,tblTemplate9[March]),"")</f>
        <v/>
      </c>
      <c r="E54" s="17" t="str">
        <f>IFERROR(SUBTOTAL(101,tblTemplate9[April]),"")</f>
        <v/>
      </c>
      <c r="F54" s="17" t="str">
        <f>IFERROR(SUBTOTAL(101,tblTemplate9[May]),"")</f>
        <v/>
      </c>
      <c r="G54" s="17" t="str">
        <f>IFERROR(SUBTOTAL(101,tblTemplate9[June]),"")</f>
        <v/>
      </c>
      <c r="H54" s="17" t="str">
        <f>IFERROR(SUBTOTAL(101,tblTemplate9[July]),"")</f>
        <v/>
      </c>
      <c r="I54" s="17" t="str">
        <f>IFERROR(SUBTOTAL(101,tblTemplate9[August]),"")</f>
        <v/>
      </c>
      <c r="J54" s="17" t="str">
        <f>IFERROR(SUBTOTAL(101,tblTemplate9[September]),"")</f>
        <v/>
      </c>
      <c r="K54" s="17" t="str">
        <f>IFERROR(SUBTOTAL(101,tblTemplate9[October]),"")</f>
        <v/>
      </c>
      <c r="L54" s="17" t="str">
        <f>IFERROR(SUBTOTAL(101,tblTemplate9[November]),"")</f>
        <v/>
      </c>
      <c r="M54" s="17" t="str">
        <f>IFERROR(SUBTOTAL(101,tblTemplate9[December]),"")</f>
        <v/>
      </c>
      <c r="N54" s="21" t="str">
        <f>IFERROR(SUBTOTAL(101,tblTemplate9[December2]),"")</f>
        <v/>
      </c>
      <c r="O54" s="13"/>
      <c r="P54" s="21" t="str">
        <f>IFERROR(SUBTOTAL(101,tblTemplate9[Q1]),"")</f>
        <v/>
      </c>
      <c r="Q54" s="21" t="str">
        <f>IFERROR(SUBTOTAL(101,tblTemplate9[Q2]),"")</f>
        <v/>
      </c>
      <c r="R54" s="21" t="str">
        <f>IFERROR(SUBTOTAL(101,tblTemplate9[Q3]),"")</f>
        <v/>
      </c>
      <c r="S54" s="21" t="str">
        <f>IFERROR(SUBTOTAL(101,tblTemplate9[Q4]),"")</f>
        <v/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Template'!B11:M11</xm:f>
              <xm:sqref>O11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Template'!B41:M41</xm:f>
              <xm:sqref>O41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Template'!B12:M12</xm:f>
              <xm:sqref>O12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Template'!B17:M17</xm:f>
              <xm:sqref>O17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Template'!B18:M18</xm:f>
              <xm:sqref>O18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Template'!B23:M23</xm:f>
              <xm:sqref>O23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Template'!B24:M24</xm:f>
              <xm:sqref>O24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Template'!B29:M29</xm:f>
              <xm:sqref>O29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Template'!B30:M30</xm:f>
              <xm:sqref>O30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Template'!B6:M6</xm:f>
              <xm:sqref>O6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Template'!B35:M35</xm:f>
              <xm:sqref>O35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Template'!B36:M36</xm:f>
              <xm:sqref>O36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Template'!B54:M54</xm:f>
              <xm:sqref>O54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Template'!B42:M42</xm:f>
              <xm:sqref>O42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Template'!B47:M47</xm:f>
              <xm:sqref>O47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Template'!B48:M48</xm:f>
              <xm:sqref>O48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Template'!B53:M53</xm:f>
              <xm:sqref>O53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'Report Template'!B5:M5</xm:f>
              <xm:sqref>O5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"/>
  <dimension ref="A1:Y112"/>
  <sheetViews>
    <sheetView tabSelected="1" zoomScale="60" zoomScaleNormal="60" workbookViewId="0">
      <pane ySplit="1" topLeftCell="A2" activePane="bottomLeft" state="frozen"/>
      <selection pane="bottomLeft" activeCell="J62" sqref="J62"/>
    </sheetView>
  </sheetViews>
  <sheetFormatPr defaultRowHeight="15" x14ac:dyDescent="0.25"/>
  <cols>
    <col min="1" max="1" width="10.7109375" bestFit="1" customWidth="1"/>
    <col min="2" max="3" width="8.140625" bestFit="1" customWidth="1"/>
    <col min="4" max="4" width="5.85546875" bestFit="1" customWidth="1"/>
    <col min="5" max="6" width="8.7109375" bestFit="1" customWidth="1"/>
    <col min="7" max="7" width="7.85546875" bestFit="1" customWidth="1"/>
    <col min="8" max="8" width="8.7109375" bestFit="1" customWidth="1"/>
    <col min="9" max="9" width="7.85546875" bestFit="1" customWidth="1"/>
    <col min="10" max="10" width="8.7109375" bestFit="1" customWidth="1"/>
    <col min="11" max="11" width="9.85546875" bestFit="1" customWidth="1"/>
    <col min="12" max="12" width="9.5703125" bestFit="1" customWidth="1"/>
  </cols>
  <sheetData>
    <row r="1" spans="1:12" ht="34.5" customHeight="1" x14ac:dyDescent="0.25">
      <c r="A1" s="23" t="s">
        <v>32</v>
      </c>
      <c r="B1" s="24" t="s">
        <v>33</v>
      </c>
      <c r="C1" s="24" t="s">
        <v>34</v>
      </c>
      <c r="D1" s="24" t="s">
        <v>35</v>
      </c>
      <c r="E1" s="24" t="s">
        <v>36</v>
      </c>
      <c r="F1" s="24" t="s">
        <v>37</v>
      </c>
      <c r="G1" s="24" t="s">
        <v>38</v>
      </c>
      <c r="H1" s="24" t="s">
        <v>39</v>
      </c>
      <c r="I1" s="24" t="s">
        <v>40</v>
      </c>
      <c r="J1" s="24" t="s">
        <v>41</v>
      </c>
      <c r="K1" s="23" t="s">
        <v>0</v>
      </c>
      <c r="L1" s="23" t="s">
        <v>42</v>
      </c>
    </row>
    <row r="2" spans="1:12" x14ac:dyDescent="0.25">
      <c r="A2" t="s">
        <v>5</v>
      </c>
      <c r="B2">
        <v>58.39</v>
      </c>
      <c r="C2">
        <v>95.73</v>
      </c>
      <c r="D2">
        <v>0.78</v>
      </c>
      <c r="E2" s="1">
        <v>0.78210000000000002</v>
      </c>
      <c r="F2" s="1">
        <v>0.87270000000000003</v>
      </c>
      <c r="G2" s="1">
        <v>0.7097</v>
      </c>
      <c r="H2" s="2">
        <v>154.56</v>
      </c>
      <c r="I2" s="1">
        <v>0.23480000000000001</v>
      </c>
      <c r="J2" s="1">
        <v>0.94989999999999997</v>
      </c>
      <c r="K2" t="s">
        <v>44</v>
      </c>
      <c r="L2" t="s">
        <v>2</v>
      </c>
    </row>
    <row r="3" spans="1:12" x14ac:dyDescent="0.25">
      <c r="A3" t="s">
        <v>6</v>
      </c>
      <c r="B3">
        <v>54.72</v>
      </c>
      <c r="C3">
        <v>115.33</v>
      </c>
      <c r="D3">
        <v>0.73</v>
      </c>
      <c r="E3" s="1">
        <v>0.64649999999999996</v>
      </c>
      <c r="F3" s="1">
        <v>0.88239999999999996</v>
      </c>
      <c r="G3" s="1">
        <v>0.64290000000000003</v>
      </c>
      <c r="H3" s="2">
        <v>203.33</v>
      </c>
      <c r="I3" s="1">
        <v>0.57689999999999997</v>
      </c>
      <c r="J3" s="1">
        <v>0.96279999999999999</v>
      </c>
      <c r="K3" t="s">
        <v>44</v>
      </c>
      <c r="L3" t="s">
        <v>2</v>
      </c>
    </row>
    <row r="4" spans="1:12" x14ac:dyDescent="0.25">
      <c r="A4" t="s">
        <v>7</v>
      </c>
      <c r="B4">
        <v>89.6</v>
      </c>
      <c r="C4">
        <v>156.62</v>
      </c>
      <c r="D4">
        <v>0.72</v>
      </c>
      <c r="E4" s="1">
        <v>0.79879999999999995</v>
      </c>
      <c r="F4" s="1">
        <v>0.85370000000000001</v>
      </c>
      <c r="G4" s="1">
        <v>0.63639999999999997</v>
      </c>
      <c r="H4" s="2">
        <v>288.31</v>
      </c>
      <c r="I4" s="1">
        <v>0.31469999999999998</v>
      </c>
      <c r="J4" s="1">
        <v>0.92049999999999998</v>
      </c>
      <c r="K4" t="s">
        <v>44</v>
      </c>
      <c r="L4" t="s">
        <v>2</v>
      </c>
    </row>
    <row r="5" spans="1:12" x14ac:dyDescent="0.25">
      <c r="A5" t="s">
        <v>8</v>
      </c>
      <c r="B5">
        <v>37.24</v>
      </c>
      <c r="C5">
        <v>113.36</v>
      </c>
      <c r="D5">
        <v>1.29</v>
      </c>
      <c r="E5" s="1">
        <v>0.25480000000000003</v>
      </c>
      <c r="F5" s="1">
        <v>0.67649999999999999</v>
      </c>
      <c r="G5" s="1">
        <v>0.85709999999999997</v>
      </c>
      <c r="H5" s="2">
        <v>195.51</v>
      </c>
      <c r="I5" s="1">
        <v>0.2253</v>
      </c>
      <c r="J5" s="1">
        <v>0.97040000000000004</v>
      </c>
      <c r="K5" t="s">
        <v>44</v>
      </c>
      <c r="L5" t="s">
        <v>2</v>
      </c>
    </row>
    <row r="6" spans="1:12" x14ac:dyDescent="0.25">
      <c r="A6" t="s">
        <v>9</v>
      </c>
      <c r="B6">
        <v>48.67</v>
      </c>
      <c r="C6">
        <v>101.19</v>
      </c>
      <c r="D6">
        <v>0.82</v>
      </c>
      <c r="E6" s="1">
        <v>0.58779999999999999</v>
      </c>
      <c r="F6" s="1">
        <v>0.77500000000000002</v>
      </c>
      <c r="G6" s="1">
        <v>0.6875</v>
      </c>
      <c r="H6" s="2">
        <v>189.91</v>
      </c>
      <c r="I6" s="1">
        <v>0.16919999999999999</v>
      </c>
      <c r="J6" s="1">
        <v>0.86350000000000005</v>
      </c>
      <c r="K6" t="s">
        <v>44</v>
      </c>
      <c r="L6" t="s">
        <v>2</v>
      </c>
    </row>
    <row r="7" spans="1:12" x14ac:dyDescent="0.25">
      <c r="A7" t="s">
        <v>10</v>
      </c>
      <c r="B7">
        <v>43.06</v>
      </c>
      <c r="C7">
        <v>97.46</v>
      </c>
      <c r="D7">
        <v>0.57999999999999996</v>
      </c>
      <c r="E7" s="1">
        <v>0.76749999999999996</v>
      </c>
      <c r="F7" s="1">
        <v>0.7419</v>
      </c>
      <c r="G7" s="1">
        <v>0.80649999999999999</v>
      </c>
      <c r="H7" s="2">
        <v>162.88</v>
      </c>
      <c r="I7" s="1">
        <v>0.2321</v>
      </c>
      <c r="J7" s="1">
        <v>0.96079999999999999</v>
      </c>
      <c r="K7" t="s">
        <v>44</v>
      </c>
      <c r="L7" t="s">
        <v>2</v>
      </c>
    </row>
    <row r="8" spans="1:12" x14ac:dyDescent="0.25">
      <c r="A8" t="s">
        <v>11</v>
      </c>
      <c r="B8">
        <v>83.48</v>
      </c>
      <c r="C8">
        <v>202.51</v>
      </c>
      <c r="D8">
        <v>0.55000000000000004</v>
      </c>
      <c r="E8" s="1">
        <v>0.75</v>
      </c>
      <c r="F8" s="1">
        <v>0.94440000000000002</v>
      </c>
      <c r="G8" s="1">
        <v>0.76470000000000005</v>
      </c>
      <c r="H8" s="2">
        <v>280.39999999999998</v>
      </c>
      <c r="I8" s="1">
        <v>0.1384</v>
      </c>
      <c r="J8" s="1">
        <v>0.94130000000000003</v>
      </c>
      <c r="K8" t="s">
        <v>44</v>
      </c>
      <c r="L8" t="s">
        <v>2</v>
      </c>
    </row>
    <row r="9" spans="1:12" x14ac:dyDescent="0.25">
      <c r="A9" t="s">
        <v>12</v>
      </c>
      <c r="B9">
        <v>81.33</v>
      </c>
      <c r="C9">
        <v>140.06</v>
      </c>
      <c r="D9">
        <v>0.86</v>
      </c>
      <c r="E9" s="1">
        <v>0.6764</v>
      </c>
      <c r="F9" s="1">
        <v>0.75</v>
      </c>
      <c r="G9" s="1">
        <v>0.93100000000000005</v>
      </c>
      <c r="H9" s="2">
        <v>200.58</v>
      </c>
      <c r="I9" s="1">
        <v>0.2354</v>
      </c>
      <c r="J9" s="1">
        <v>0.94799999999999995</v>
      </c>
      <c r="K9" t="s">
        <v>44</v>
      </c>
      <c r="L9" t="s">
        <v>2</v>
      </c>
    </row>
    <row r="10" spans="1:12" x14ac:dyDescent="0.25">
      <c r="A10" t="s">
        <v>13</v>
      </c>
      <c r="E10" s="1">
        <v>0</v>
      </c>
      <c r="K10" t="s">
        <v>44</v>
      </c>
      <c r="L10" t="s">
        <v>2</v>
      </c>
    </row>
    <row r="11" spans="1:12" x14ac:dyDescent="0.25">
      <c r="A11" t="s">
        <v>14</v>
      </c>
      <c r="B11">
        <v>69.73</v>
      </c>
      <c r="C11">
        <v>101.69</v>
      </c>
      <c r="D11">
        <v>0.94</v>
      </c>
      <c r="E11" s="1">
        <v>0.72929999999999995</v>
      </c>
      <c r="F11" s="1">
        <v>0.83750000000000002</v>
      </c>
      <c r="G11" s="1">
        <v>0.72309999999999997</v>
      </c>
      <c r="H11" s="2">
        <v>167.92</v>
      </c>
      <c r="I11" s="1">
        <v>0.26779999999999998</v>
      </c>
      <c r="J11" s="1">
        <v>0.93959999999999999</v>
      </c>
      <c r="K11" t="s">
        <v>44</v>
      </c>
      <c r="L11" t="s">
        <v>3</v>
      </c>
    </row>
    <row r="12" spans="1:12" x14ac:dyDescent="0.25">
      <c r="A12" t="s">
        <v>15</v>
      </c>
      <c r="B12">
        <v>29.17</v>
      </c>
      <c r="C12">
        <v>86.47</v>
      </c>
      <c r="D12">
        <v>0.55000000000000004</v>
      </c>
      <c r="E12" s="1">
        <v>0.61250000000000004</v>
      </c>
      <c r="F12" s="1">
        <v>0.72970000000000002</v>
      </c>
      <c r="G12" s="1">
        <v>0.71430000000000005</v>
      </c>
      <c r="H12" s="2">
        <v>165.89</v>
      </c>
      <c r="I12" s="1">
        <v>0.2989</v>
      </c>
      <c r="J12" s="1">
        <v>0.9667</v>
      </c>
      <c r="K12" t="s">
        <v>44</v>
      </c>
      <c r="L12" t="s">
        <v>3</v>
      </c>
    </row>
    <row r="13" spans="1:12" x14ac:dyDescent="0.25">
      <c r="A13" t="s">
        <v>16</v>
      </c>
      <c r="B13">
        <v>7.02</v>
      </c>
      <c r="C13">
        <v>45.62</v>
      </c>
      <c r="D13">
        <v>0.42</v>
      </c>
      <c r="E13" s="1">
        <v>0.36670000000000003</v>
      </c>
      <c r="F13" s="1">
        <v>0.6</v>
      </c>
      <c r="G13" s="1">
        <v>0.83330000000000004</v>
      </c>
      <c r="H13" s="2">
        <v>91.23</v>
      </c>
      <c r="I13" s="1">
        <v>0.14130000000000001</v>
      </c>
      <c r="J13" s="1">
        <v>0.87609999999999999</v>
      </c>
      <c r="K13" t="s">
        <v>44</v>
      </c>
      <c r="L13" t="s">
        <v>3</v>
      </c>
    </row>
    <row r="14" spans="1:12" x14ac:dyDescent="0.25">
      <c r="A14" t="s">
        <v>17</v>
      </c>
      <c r="B14">
        <v>119.28</v>
      </c>
      <c r="C14">
        <v>128.75</v>
      </c>
      <c r="D14">
        <v>0.89</v>
      </c>
      <c r="E14" s="1">
        <v>1.0439000000000001</v>
      </c>
      <c r="F14" s="1">
        <v>0.77780000000000005</v>
      </c>
      <c r="G14" s="1">
        <v>0.78259999999999996</v>
      </c>
      <c r="H14" s="2">
        <v>211.51</v>
      </c>
      <c r="I14" s="1">
        <v>0.45319999999999999</v>
      </c>
      <c r="J14" s="1">
        <v>0.94599999999999995</v>
      </c>
      <c r="K14" t="s">
        <v>44</v>
      </c>
      <c r="L14" t="s">
        <v>3</v>
      </c>
    </row>
    <row r="15" spans="1:12" x14ac:dyDescent="0.25">
      <c r="A15" t="s">
        <v>18</v>
      </c>
      <c r="G15" s="1">
        <v>0.75</v>
      </c>
      <c r="H15" s="2">
        <v>0</v>
      </c>
      <c r="K15" t="s">
        <v>44</v>
      </c>
      <c r="L15" t="s">
        <v>3</v>
      </c>
    </row>
    <row r="16" spans="1:12" x14ac:dyDescent="0.25">
      <c r="A16" t="s">
        <v>19</v>
      </c>
      <c r="B16">
        <v>47.86</v>
      </c>
      <c r="C16">
        <v>102.5</v>
      </c>
      <c r="D16">
        <v>0.51</v>
      </c>
      <c r="E16" s="1">
        <v>0.92059999999999997</v>
      </c>
      <c r="F16" s="1">
        <v>0.52500000000000002</v>
      </c>
      <c r="G16" s="1">
        <v>0.81479999999999997</v>
      </c>
      <c r="H16" s="2">
        <v>239.62</v>
      </c>
      <c r="I16" s="1">
        <v>0.23150000000000001</v>
      </c>
      <c r="J16" s="1">
        <v>0.66769999999999996</v>
      </c>
      <c r="K16" t="s">
        <v>44</v>
      </c>
      <c r="L16" t="s">
        <v>3</v>
      </c>
    </row>
    <row r="17" spans="1:25" x14ac:dyDescent="0.25">
      <c r="A17" t="s">
        <v>20</v>
      </c>
      <c r="B17">
        <v>68.53</v>
      </c>
      <c r="C17">
        <v>140.07</v>
      </c>
      <c r="D17">
        <v>0.67</v>
      </c>
      <c r="E17" s="1">
        <v>0.73299999999999998</v>
      </c>
      <c r="F17" s="1">
        <v>0.73680000000000001</v>
      </c>
      <c r="G17" s="1">
        <v>0.73170000000000002</v>
      </c>
      <c r="H17" s="2">
        <v>259.8</v>
      </c>
      <c r="I17" s="1">
        <v>0.28320000000000001</v>
      </c>
      <c r="J17" s="1">
        <v>0.89790000000000003</v>
      </c>
      <c r="K17" t="s">
        <v>44</v>
      </c>
      <c r="L17" t="s">
        <v>3</v>
      </c>
    </row>
    <row r="18" spans="1:25" x14ac:dyDescent="0.25">
      <c r="A18" t="s">
        <v>21</v>
      </c>
      <c r="B18">
        <v>104.52</v>
      </c>
      <c r="C18">
        <v>165.16</v>
      </c>
      <c r="D18">
        <v>0.87</v>
      </c>
      <c r="E18" s="1">
        <v>0.73050000000000004</v>
      </c>
      <c r="F18" s="1">
        <v>0.85189999999999999</v>
      </c>
      <c r="G18" s="1">
        <v>0.77780000000000005</v>
      </c>
      <c r="H18" s="2">
        <v>249.29</v>
      </c>
      <c r="I18" s="1">
        <v>0.34370000000000001</v>
      </c>
      <c r="J18" s="1">
        <v>0.93620000000000003</v>
      </c>
      <c r="K18" t="s">
        <v>44</v>
      </c>
      <c r="L18" t="s">
        <v>3</v>
      </c>
    </row>
    <row r="19" spans="1:25" x14ac:dyDescent="0.25">
      <c r="A19" t="s">
        <v>22</v>
      </c>
      <c r="B19">
        <v>6.71</v>
      </c>
      <c r="C19">
        <v>120</v>
      </c>
      <c r="D19">
        <v>0.36</v>
      </c>
      <c r="E19" s="1">
        <v>0.1537</v>
      </c>
      <c r="F19" s="1">
        <v>1</v>
      </c>
      <c r="G19" s="1">
        <v>0.4</v>
      </c>
      <c r="H19" s="2">
        <v>300</v>
      </c>
      <c r="I19" s="1">
        <v>0.1211</v>
      </c>
      <c r="J19" s="1">
        <v>0.9244</v>
      </c>
      <c r="K19" t="s">
        <v>44</v>
      </c>
      <c r="L19" t="s">
        <v>3</v>
      </c>
    </row>
    <row r="20" spans="1:25" x14ac:dyDescent="0.25">
      <c r="A20" t="s">
        <v>23</v>
      </c>
      <c r="B20">
        <v>90.72</v>
      </c>
      <c r="C20">
        <v>142.49</v>
      </c>
      <c r="D20">
        <v>0.7</v>
      </c>
      <c r="E20" s="1">
        <v>0.90810000000000002</v>
      </c>
      <c r="F20" s="1">
        <v>0.62709999999999999</v>
      </c>
      <c r="G20" s="1">
        <v>0.83330000000000004</v>
      </c>
      <c r="H20" s="2">
        <v>272.64999999999998</v>
      </c>
      <c r="I20" s="1">
        <v>0.14199999999999999</v>
      </c>
      <c r="J20" s="1">
        <v>0.98560000000000003</v>
      </c>
      <c r="K20" t="s">
        <v>44</v>
      </c>
      <c r="L20" t="s">
        <v>3</v>
      </c>
    </row>
    <row r="21" spans="1:25" x14ac:dyDescent="0.25">
      <c r="A21" t="s">
        <v>24</v>
      </c>
      <c r="B21">
        <v>99.56</v>
      </c>
      <c r="C21">
        <v>150.22999999999999</v>
      </c>
      <c r="D21">
        <v>0.79</v>
      </c>
      <c r="E21" s="1">
        <v>0.84140000000000004</v>
      </c>
      <c r="F21" s="1">
        <v>0.58209999999999995</v>
      </c>
      <c r="G21" s="1">
        <v>0.75439999999999996</v>
      </c>
      <c r="H21" s="2">
        <v>342.11</v>
      </c>
      <c r="I21" s="1">
        <v>0.1416</v>
      </c>
      <c r="J21" s="1">
        <v>0.95930000000000004</v>
      </c>
      <c r="K21" t="s">
        <v>44</v>
      </c>
      <c r="L21" t="s">
        <v>4</v>
      </c>
    </row>
    <row r="22" spans="1:25" x14ac:dyDescent="0.25">
      <c r="A22" t="s">
        <v>25</v>
      </c>
      <c r="B22">
        <v>103.37</v>
      </c>
      <c r="C22">
        <v>241.31</v>
      </c>
      <c r="D22">
        <v>0.53</v>
      </c>
      <c r="E22" s="1">
        <v>0.80889999999999995</v>
      </c>
      <c r="F22" s="1">
        <v>0.61360000000000003</v>
      </c>
      <c r="G22" s="1">
        <v>0.84</v>
      </c>
      <c r="H22" s="2">
        <v>468.14</v>
      </c>
      <c r="I22" s="1">
        <v>0.27639999999999998</v>
      </c>
      <c r="J22" s="1">
        <v>0.89380000000000004</v>
      </c>
      <c r="K22" t="s">
        <v>44</v>
      </c>
      <c r="L22" t="s">
        <v>4</v>
      </c>
    </row>
    <row r="23" spans="1:25" x14ac:dyDescent="0.25">
      <c r="A23" t="s">
        <v>26</v>
      </c>
      <c r="B23">
        <v>96.9</v>
      </c>
      <c r="C23">
        <v>183.56</v>
      </c>
      <c r="D23">
        <v>0.69</v>
      </c>
      <c r="E23" s="1">
        <v>0.76929999999999998</v>
      </c>
      <c r="F23" s="1">
        <v>0.73170000000000002</v>
      </c>
      <c r="G23" s="1">
        <v>0.63329999999999997</v>
      </c>
      <c r="H23" s="2">
        <v>396.11</v>
      </c>
      <c r="I23" s="1">
        <v>0.12559999999999999</v>
      </c>
      <c r="J23" s="1">
        <v>0.9526</v>
      </c>
      <c r="K23" t="s">
        <v>44</v>
      </c>
      <c r="L23" t="s">
        <v>4</v>
      </c>
    </row>
    <row r="24" spans="1:25" x14ac:dyDescent="0.25">
      <c r="A24" t="s">
        <v>27</v>
      </c>
      <c r="B24">
        <v>92.03</v>
      </c>
      <c r="C24">
        <v>201.07</v>
      </c>
      <c r="D24">
        <v>0.63</v>
      </c>
      <c r="E24" s="1">
        <v>0.72219999999999995</v>
      </c>
      <c r="F24" s="1">
        <v>0.71740000000000004</v>
      </c>
      <c r="G24" s="1">
        <v>0.78569999999999995</v>
      </c>
      <c r="H24" s="2">
        <v>356.73</v>
      </c>
      <c r="I24" s="1">
        <v>0.26069999999999999</v>
      </c>
      <c r="J24" s="1">
        <v>1.0307999999999999</v>
      </c>
      <c r="K24" t="s">
        <v>44</v>
      </c>
      <c r="L24" t="s">
        <v>4</v>
      </c>
    </row>
    <row r="25" spans="1:25" x14ac:dyDescent="0.25">
      <c r="A25" t="s">
        <v>28</v>
      </c>
      <c r="B25">
        <v>16.010000000000002</v>
      </c>
      <c r="C25">
        <v>72.5</v>
      </c>
      <c r="D25">
        <v>0.45</v>
      </c>
      <c r="E25" s="1">
        <v>0.48770000000000002</v>
      </c>
      <c r="F25" s="1">
        <v>0.4118</v>
      </c>
      <c r="G25" s="1">
        <v>0.84619999999999995</v>
      </c>
      <c r="H25" s="2">
        <v>208.09</v>
      </c>
      <c r="I25" s="1">
        <v>0.10829999999999999</v>
      </c>
      <c r="J25" s="1">
        <v>0.93379999999999996</v>
      </c>
      <c r="K25" t="s">
        <v>44</v>
      </c>
      <c r="L25" t="s">
        <v>4</v>
      </c>
    </row>
    <row r="26" spans="1:25" x14ac:dyDescent="0.25">
      <c r="A26" t="s">
        <v>29</v>
      </c>
      <c r="B26">
        <v>181.05</v>
      </c>
      <c r="C26">
        <v>307.05</v>
      </c>
      <c r="D26">
        <v>0.73</v>
      </c>
      <c r="E26" s="1">
        <v>0.80689999999999995</v>
      </c>
      <c r="F26" s="1">
        <v>0.61399999999999999</v>
      </c>
      <c r="G26" s="1">
        <v>0.72409999999999997</v>
      </c>
      <c r="H26" s="2">
        <v>690.55</v>
      </c>
      <c r="I26" s="1">
        <v>0.16869999999999999</v>
      </c>
      <c r="J26" s="1">
        <v>0.87939999999999996</v>
      </c>
      <c r="K26" t="s">
        <v>44</v>
      </c>
      <c r="L26" t="s">
        <v>4</v>
      </c>
    </row>
    <row r="27" spans="1:25" x14ac:dyDescent="0.25">
      <c r="A27" t="s">
        <v>30</v>
      </c>
      <c r="B27">
        <v>38.090000000000003</v>
      </c>
      <c r="C27">
        <v>106.9</v>
      </c>
      <c r="D27">
        <v>0.59</v>
      </c>
      <c r="E27" s="1">
        <v>0.60319999999999996</v>
      </c>
      <c r="F27" s="1">
        <v>0.52629999999999999</v>
      </c>
      <c r="G27" s="1">
        <v>0.86050000000000004</v>
      </c>
      <c r="H27" s="2">
        <v>236.05</v>
      </c>
      <c r="I27" s="1">
        <v>8.2500000000000004E-2</v>
      </c>
      <c r="J27" s="1">
        <v>1.0159</v>
      </c>
      <c r="K27" t="s">
        <v>44</v>
      </c>
      <c r="L27" t="s">
        <v>4</v>
      </c>
    </row>
    <row r="28" spans="1:25" x14ac:dyDescent="0.25">
      <c r="A28" t="s">
        <v>31</v>
      </c>
      <c r="B28">
        <v>119.75</v>
      </c>
      <c r="C28">
        <v>153.78</v>
      </c>
      <c r="D28">
        <v>0.9</v>
      </c>
      <c r="E28" s="1">
        <v>0.86370000000000002</v>
      </c>
      <c r="F28" s="1">
        <v>0.59760000000000002</v>
      </c>
      <c r="G28" s="1">
        <v>0.65629999999999999</v>
      </c>
      <c r="H28" s="2">
        <v>392.14</v>
      </c>
      <c r="I28" s="1">
        <v>0.1487</v>
      </c>
      <c r="J28" s="1">
        <v>0.99350000000000005</v>
      </c>
      <c r="K28" t="s">
        <v>44</v>
      </c>
      <c r="L28" t="s">
        <v>4</v>
      </c>
    </row>
    <row r="29" spans="1:25" x14ac:dyDescent="0.25">
      <c r="A29" s="6" t="s">
        <v>5</v>
      </c>
      <c r="B29" s="6">
        <v>58.39</v>
      </c>
      <c r="C29" s="6">
        <v>95.73</v>
      </c>
      <c r="D29" s="6">
        <v>0.78</v>
      </c>
      <c r="E29" s="7">
        <v>0.78210000000000002</v>
      </c>
      <c r="F29" s="7">
        <v>0.87270000000000003</v>
      </c>
      <c r="G29" s="7">
        <v>0.7097</v>
      </c>
      <c r="H29" s="8">
        <v>154.56</v>
      </c>
      <c r="I29" s="7">
        <v>0.23480000000000001</v>
      </c>
      <c r="J29" s="7">
        <v>0.94989999999999997</v>
      </c>
      <c r="K29" s="6" t="s">
        <v>1</v>
      </c>
      <c r="L29" s="6" t="s">
        <v>2</v>
      </c>
      <c r="N29" s="6" t="s">
        <v>5</v>
      </c>
      <c r="O29" s="6">
        <v>58.39</v>
      </c>
      <c r="P29" s="6">
        <v>95.73</v>
      </c>
      <c r="Q29" s="6">
        <v>0.78</v>
      </c>
      <c r="R29" s="7">
        <v>0.78210000000000002</v>
      </c>
      <c r="S29" s="7">
        <v>0.87270000000000003</v>
      </c>
      <c r="T29" s="7">
        <v>0.7097</v>
      </c>
      <c r="U29" s="8">
        <v>154.56</v>
      </c>
      <c r="V29" s="7">
        <v>0.23480000000000001</v>
      </c>
      <c r="W29" s="7">
        <v>0.94989999999999997</v>
      </c>
      <c r="X29" s="6" t="s">
        <v>1</v>
      </c>
      <c r="Y29" s="6" t="s">
        <v>2</v>
      </c>
    </row>
    <row r="30" spans="1:25" x14ac:dyDescent="0.25">
      <c r="A30" s="6" t="s">
        <v>6</v>
      </c>
      <c r="B30" s="6">
        <v>54.72</v>
      </c>
      <c r="C30" s="6">
        <v>115.33</v>
      </c>
      <c r="D30" s="6">
        <v>0.73</v>
      </c>
      <c r="E30" s="7">
        <v>0.64649999999999996</v>
      </c>
      <c r="F30" s="7">
        <v>0.88239999999999996</v>
      </c>
      <c r="G30" s="7">
        <v>0.64290000000000003</v>
      </c>
      <c r="H30" s="8">
        <v>203.33</v>
      </c>
      <c r="I30" s="7">
        <v>0.57689999999999997</v>
      </c>
      <c r="J30" s="7">
        <v>0.96279999999999999</v>
      </c>
      <c r="K30" s="6" t="s">
        <v>1</v>
      </c>
      <c r="L30" s="6" t="s">
        <v>2</v>
      </c>
      <c r="N30" s="6" t="s">
        <v>6</v>
      </c>
      <c r="O30" s="6">
        <v>54.72</v>
      </c>
      <c r="P30" s="6">
        <v>115.33</v>
      </c>
      <c r="Q30" s="6">
        <v>0.73</v>
      </c>
      <c r="R30" s="7">
        <v>0.64649999999999996</v>
      </c>
      <c r="S30" s="7">
        <v>0.88239999999999996</v>
      </c>
      <c r="T30" s="7">
        <v>0.64290000000000003</v>
      </c>
      <c r="U30" s="8">
        <v>203.33</v>
      </c>
      <c r="V30" s="7">
        <v>0.57689999999999997</v>
      </c>
      <c r="W30" s="7">
        <v>0.96279999999999999</v>
      </c>
      <c r="X30" s="6" t="s">
        <v>1</v>
      </c>
      <c r="Y30" s="6" t="s">
        <v>2</v>
      </c>
    </row>
    <row r="31" spans="1:25" ht="15" customHeight="1" x14ac:dyDescent="0.25">
      <c r="A31" s="6" t="s">
        <v>7</v>
      </c>
      <c r="B31" s="6">
        <v>89.6</v>
      </c>
      <c r="C31" s="6">
        <v>156.62</v>
      </c>
      <c r="D31" s="6">
        <v>0.72</v>
      </c>
      <c r="E31" s="7">
        <v>0.79879999999999995</v>
      </c>
      <c r="F31" s="7">
        <v>0.85370000000000001</v>
      </c>
      <c r="G31" s="7">
        <v>0.63639999999999997</v>
      </c>
      <c r="H31" s="8">
        <v>288.31</v>
      </c>
      <c r="I31" s="7">
        <v>0.31469999999999998</v>
      </c>
      <c r="J31" s="7">
        <v>0.92049999999999998</v>
      </c>
      <c r="K31" s="6" t="s">
        <v>1</v>
      </c>
      <c r="L31" s="6" t="s">
        <v>2</v>
      </c>
      <c r="N31" s="6" t="s">
        <v>7</v>
      </c>
      <c r="O31" s="6">
        <v>89.6</v>
      </c>
      <c r="P31" s="6">
        <v>156.62</v>
      </c>
      <c r="Q31" s="6">
        <v>0.72</v>
      </c>
      <c r="R31" s="7">
        <v>0.79879999999999995</v>
      </c>
      <c r="S31" s="7">
        <v>0.85370000000000001</v>
      </c>
      <c r="T31" s="7">
        <v>0.63639999999999997</v>
      </c>
      <c r="U31" s="8">
        <v>288.31</v>
      </c>
      <c r="V31" s="7">
        <v>0.31469999999999998</v>
      </c>
      <c r="W31" s="7">
        <v>0.92049999999999998</v>
      </c>
      <c r="X31" s="6" t="s">
        <v>1</v>
      </c>
      <c r="Y31" s="6" t="s">
        <v>2</v>
      </c>
    </row>
    <row r="32" spans="1:25" ht="15" customHeight="1" x14ac:dyDescent="0.25">
      <c r="A32" s="6" t="s">
        <v>8</v>
      </c>
      <c r="B32" s="6">
        <v>37.24</v>
      </c>
      <c r="C32" s="6">
        <v>113.36</v>
      </c>
      <c r="D32" s="6">
        <v>1.29</v>
      </c>
      <c r="E32" s="7">
        <v>0.25480000000000003</v>
      </c>
      <c r="F32" s="7">
        <v>0.67649999999999999</v>
      </c>
      <c r="G32" s="7">
        <v>0.85709999999999997</v>
      </c>
      <c r="H32" s="8">
        <v>195.51</v>
      </c>
      <c r="I32" s="7">
        <v>0.2253</v>
      </c>
      <c r="J32" s="7">
        <v>0.97040000000000004</v>
      </c>
      <c r="K32" s="6" t="s">
        <v>1</v>
      </c>
      <c r="L32" s="6" t="s">
        <v>2</v>
      </c>
      <c r="N32" s="6" t="s">
        <v>8</v>
      </c>
      <c r="O32" s="6">
        <v>37.24</v>
      </c>
      <c r="P32" s="6">
        <v>113.36</v>
      </c>
      <c r="Q32" s="6">
        <v>1.29</v>
      </c>
      <c r="R32" s="7">
        <v>0.25480000000000003</v>
      </c>
      <c r="S32" s="7">
        <v>0.67649999999999999</v>
      </c>
      <c r="T32" s="7">
        <v>0.85709999999999997</v>
      </c>
      <c r="U32" s="8">
        <v>195.51</v>
      </c>
      <c r="V32" s="7">
        <v>0.2253</v>
      </c>
      <c r="W32" s="7">
        <v>0.97040000000000004</v>
      </c>
      <c r="X32" s="6" t="s">
        <v>1</v>
      </c>
      <c r="Y32" s="6" t="s">
        <v>2</v>
      </c>
    </row>
    <row r="33" spans="1:25" ht="15" customHeight="1" x14ac:dyDescent="0.25">
      <c r="A33" s="6" t="s">
        <v>9</v>
      </c>
      <c r="B33" s="6">
        <v>48.67</v>
      </c>
      <c r="C33" s="6">
        <v>101.19</v>
      </c>
      <c r="D33" s="6">
        <v>0.82</v>
      </c>
      <c r="E33" s="7">
        <v>0.58779999999999999</v>
      </c>
      <c r="F33" s="7">
        <v>0.77500000000000002</v>
      </c>
      <c r="G33" s="7">
        <v>0.6875</v>
      </c>
      <c r="H33" s="8">
        <v>189.91</v>
      </c>
      <c r="I33" s="7">
        <v>0.16919999999999999</v>
      </c>
      <c r="J33" s="7">
        <v>0.86350000000000005</v>
      </c>
      <c r="K33" s="6" t="s">
        <v>1</v>
      </c>
      <c r="L33" s="6" t="s">
        <v>2</v>
      </c>
      <c r="N33" s="6" t="s">
        <v>9</v>
      </c>
      <c r="O33" s="6">
        <v>48.67</v>
      </c>
      <c r="P33" s="6">
        <v>101.19</v>
      </c>
      <c r="Q33" s="6">
        <v>0.82</v>
      </c>
      <c r="R33" s="7">
        <v>0.58779999999999999</v>
      </c>
      <c r="S33" s="7">
        <v>0.77500000000000002</v>
      </c>
      <c r="T33" s="7">
        <v>0.6875</v>
      </c>
      <c r="U33" s="8">
        <v>189.91</v>
      </c>
      <c r="V33" s="7">
        <v>0.16919999999999999</v>
      </c>
      <c r="W33" s="7">
        <v>0.86350000000000005</v>
      </c>
      <c r="X33" s="6" t="s">
        <v>1</v>
      </c>
      <c r="Y33" s="6" t="s">
        <v>2</v>
      </c>
    </row>
    <row r="34" spans="1:25" ht="15" customHeight="1" x14ac:dyDescent="0.25">
      <c r="A34" s="6" t="s">
        <v>10</v>
      </c>
      <c r="B34" s="6">
        <v>43.06</v>
      </c>
      <c r="C34" s="6">
        <v>97.46</v>
      </c>
      <c r="D34" s="6">
        <v>0.57999999999999996</v>
      </c>
      <c r="E34" s="7">
        <v>0.76749999999999996</v>
      </c>
      <c r="F34" s="7">
        <v>0.7419</v>
      </c>
      <c r="G34" s="7">
        <v>0.80649999999999999</v>
      </c>
      <c r="H34" s="8">
        <v>162.88</v>
      </c>
      <c r="I34" s="7">
        <v>0.2321</v>
      </c>
      <c r="J34" s="7">
        <v>0.96079999999999999</v>
      </c>
      <c r="K34" s="6" t="s">
        <v>1</v>
      </c>
      <c r="L34" s="6" t="s">
        <v>2</v>
      </c>
      <c r="N34" s="6" t="s">
        <v>10</v>
      </c>
      <c r="O34" s="6">
        <v>43.06</v>
      </c>
      <c r="P34" s="6">
        <v>97.46</v>
      </c>
      <c r="Q34" s="6">
        <v>0.57999999999999996</v>
      </c>
      <c r="R34" s="7">
        <v>0.76749999999999996</v>
      </c>
      <c r="S34" s="7">
        <v>0.7419</v>
      </c>
      <c r="T34" s="7">
        <v>0.80649999999999999</v>
      </c>
      <c r="U34" s="8">
        <v>162.88</v>
      </c>
      <c r="V34" s="7">
        <v>0.2321</v>
      </c>
      <c r="W34" s="7">
        <v>0.96079999999999999</v>
      </c>
      <c r="X34" s="6" t="s">
        <v>1</v>
      </c>
      <c r="Y34" s="6" t="s">
        <v>2</v>
      </c>
    </row>
    <row r="35" spans="1:25" ht="15" customHeight="1" x14ac:dyDescent="0.25">
      <c r="A35" s="6" t="s">
        <v>11</v>
      </c>
      <c r="B35" s="6">
        <v>83.48</v>
      </c>
      <c r="C35" s="6">
        <v>202.51</v>
      </c>
      <c r="D35" s="6">
        <v>0.55000000000000004</v>
      </c>
      <c r="E35" s="7">
        <v>0.75</v>
      </c>
      <c r="F35" s="7">
        <v>0.94440000000000002</v>
      </c>
      <c r="G35" s="7">
        <v>0.76470000000000005</v>
      </c>
      <c r="H35" s="8">
        <v>280.39999999999998</v>
      </c>
      <c r="I35" s="7">
        <v>0.1384</v>
      </c>
      <c r="J35" s="7">
        <v>0.94130000000000003</v>
      </c>
      <c r="K35" s="6" t="s">
        <v>1</v>
      </c>
      <c r="L35" s="6" t="s">
        <v>2</v>
      </c>
      <c r="N35" s="6" t="s">
        <v>11</v>
      </c>
      <c r="O35" s="6">
        <v>83.48</v>
      </c>
      <c r="P35" s="6">
        <v>202.51</v>
      </c>
      <c r="Q35" s="6">
        <v>0.55000000000000004</v>
      </c>
      <c r="R35" s="7">
        <v>0.75</v>
      </c>
      <c r="S35" s="7">
        <v>0.94440000000000002</v>
      </c>
      <c r="T35" s="7">
        <v>0.76470000000000005</v>
      </c>
      <c r="U35" s="8">
        <v>280.39999999999998</v>
      </c>
      <c r="V35" s="7">
        <v>0.1384</v>
      </c>
      <c r="W35" s="7">
        <v>0.94130000000000003</v>
      </c>
      <c r="X35" s="6" t="s">
        <v>1</v>
      </c>
      <c r="Y35" s="6" t="s">
        <v>2</v>
      </c>
    </row>
    <row r="36" spans="1:25" ht="15" customHeight="1" x14ac:dyDescent="0.25">
      <c r="A36" s="6" t="s">
        <v>12</v>
      </c>
      <c r="B36" s="6">
        <v>81.33</v>
      </c>
      <c r="C36" s="6">
        <v>140.06</v>
      </c>
      <c r="D36" s="6">
        <v>0.86</v>
      </c>
      <c r="E36" s="7">
        <v>0.6764</v>
      </c>
      <c r="F36" s="7">
        <v>0.75</v>
      </c>
      <c r="G36" s="7">
        <v>0.93100000000000005</v>
      </c>
      <c r="H36" s="8">
        <v>200.58</v>
      </c>
      <c r="I36" s="7">
        <v>0.2354</v>
      </c>
      <c r="J36" s="7">
        <v>0.94799999999999995</v>
      </c>
      <c r="K36" s="6" t="s">
        <v>1</v>
      </c>
      <c r="L36" s="6" t="s">
        <v>2</v>
      </c>
      <c r="N36" s="6" t="s">
        <v>12</v>
      </c>
      <c r="O36" s="6">
        <v>81.33</v>
      </c>
      <c r="P36" s="6">
        <v>140.06</v>
      </c>
      <c r="Q36" s="6">
        <v>0.86</v>
      </c>
      <c r="R36" s="7">
        <v>0.6764</v>
      </c>
      <c r="S36" s="7">
        <v>0.75</v>
      </c>
      <c r="T36" s="7">
        <v>0.93100000000000005</v>
      </c>
      <c r="U36" s="8">
        <v>200.58</v>
      </c>
      <c r="V36" s="7">
        <v>0.2354</v>
      </c>
      <c r="W36" s="7">
        <v>0.94799999999999995</v>
      </c>
      <c r="X36" s="6" t="s">
        <v>1</v>
      </c>
      <c r="Y36" s="6" t="s">
        <v>2</v>
      </c>
    </row>
    <row r="37" spans="1:25" ht="15" customHeight="1" x14ac:dyDescent="0.25">
      <c r="A37" s="6" t="s">
        <v>13</v>
      </c>
      <c r="B37" s="6"/>
      <c r="C37" s="6"/>
      <c r="D37" s="6"/>
      <c r="E37" s="7">
        <v>0</v>
      </c>
      <c r="F37" s="6"/>
      <c r="G37" s="6"/>
      <c r="H37" s="6"/>
      <c r="I37" s="6"/>
      <c r="J37" s="6"/>
      <c r="K37" s="6" t="s">
        <v>1</v>
      </c>
      <c r="L37" s="6" t="s">
        <v>2</v>
      </c>
      <c r="N37" s="6" t="s">
        <v>13</v>
      </c>
      <c r="O37" s="6"/>
      <c r="P37" s="6"/>
      <c r="Q37" s="6"/>
      <c r="R37" s="7">
        <v>0</v>
      </c>
      <c r="S37" s="6"/>
      <c r="T37" s="6"/>
      <c r="U37" s="6"/>
      <c r="V37" s="6"/>
      <c r="W37" s="6"/>
      <c r="X37" s="6" t="s">
        <v>1</v>
      </c>
      <c r="Y37" s="6" t="s">
        <v>2</v>
      </c>
    </row>
    <row r="38" spans="1:25" ht="15" customHeight="1" x14ac:dyDescent="0.25">
      <c r="A38" s="6" t="s">
        <v>14</v>
      </c>
      <c r="B38" s="6">
        <v>69.73</v>
      </c>
      <c r="C38" s="6">
        <v>101.69</v>
      </c>
      <c r="D38" s="6">
        <v>0.94</v>
      </c>
      <c r="E38" s="7">
        <v>0.72929999999999995</v>
      </c>
      <c r="F38" s="7">
        <v>0.83750000000000002</v>
      </c>
      <c r="G38" s="7">
        <v>0.72309999999999997</v>
      </c>
      <c r="H38" s="8">
        <v>167.92</v>
      </c>
      <c r="I38" s="7">
        <v>0.26779999999999998</v>
      </c>
      <c r="J38" s="7">
        <v>0.93959999999999999</v>
      </c>
      <c r="K38" s="6" t="s">
        <v>1</v>
      </c>
      <c r="L38" s="6" t="s">
        <v>3</v>
      </c>
      <c r="N38" s="6" t="s">
        <v>14</v>
      </c>
      <c r="O38" s="6">
        <v>69.73</v>
      </c>
      <c r="P38" s="6">
        <v>101.69</v>
      </c>
      <c r="Q38" s="6">
        <v>0.94</v>
      </c>
      <c r="R38" s="7">
        <v>0.72929999999999995</v>
      </c>
      <c r="S38" s="7">
        <v>0.83750000000000002</v>
      </c>
      <c r="T38" s="7">
        <v>0.72309999999999997</v>
      </c>
      <c r="U38" s="8">
        <v>167.92</v>
      </c>
      <c r="V38" s="7">
        <v>0.26779999999999998</v>
      </c>
      <c r="W38" s="7">
        <v>0.93959999999999999</v>
      </c>
      <c r="X38" s="6" t="s">
        <v>1</v>
      </c>
      <c r="Y38" s="6" t="s">
        <v>3</v>
      </c>
    </row>
    <row r="39" spans="1:25" ht="15" customHeight="1" x14ac:dyDescent="0.25">
      <c r="A39" s="6" t="s">
        <v>15</v>
      </c>
      <c r="B39" s="6">
        <v>29.17</v>
      </c>
      <c r="C39" s="6">
        <v>86.47</v>
      </c>
      <c r="D39" s="6">
        <v>0.55000000000000004</v>
      </c>
      <c r="E39" s="7">
        <v>0.61250000000000004</v>
      </c>
      <c r="F39" s="7">
        <v>0.72970000000000002</v>
      </c>
      <c r="G39" s="7">
        <v>0.71430000000000005</v>
      </c>
      <c r="H39" s="8">
        <v>165.89</v>
      </c>
      <c r="I39" s="7">
        <v>0.2989</v>
      </c>
      <c r="J39" s="7">
        <v>0.9667</v>
      </c>
      <c r="K39" s="6" t="s">
        <v>1</v>
      </c>
      <c r="L39" s="6" t="s">
        <v>3</v>
      </c>
      <c r="N39" s="6" t="s">
        <v>15</v>
      </c>
      <c r="O39" s="6">
        <v>29.17</v>
      </c>
      <c r="P39" s="6">
        <v>86.47</v>
      </c>
      <c r="Q39" s="6">
        <v>0.55000000000000004</v>
      </c>
      <c r="R39" s="7">
        <v>0.61250000000000004</v>
      </c>
      <c r="S39" s="7">
        <v>0.72970000000000002</v>
      </c>
      <c r="T39" s="7">
        <v>0.71430000000000005</v>
      </c>
      <c r="U39" s="8">
        <v>165.89</v>
      </c>
      <c r="V39" s="7">
        <v>0.2989</v>
      </c>
      <c r="W39" s="7">
        <v>0.9667</v>
      </c>
      <c r="X39" s="6" t="s">
        <v>1</v>
      </c>
      <c r="Y39" s="6" t="s">
        <v>3</v>
      </c>
    </row>
    <row r="40" spans="1:25" ht="15" customHeight="1" x14ac:dyDescent="0.25">
      <c r="A40" s="6" t="s">
        <v>16</v>
      </c>
      <c r="B40" s="6">
        <v>7.02</v>
      </c>
      <c r="C40" s="6">
        <v>45.62</v>
      </c>
      <c r="D40" s="6">
        <v>0.42</v>
      </c>
      <c r="E40" s="7">
        <v>0.36670000000000003</v>
      </c>
      <c r="F40" s="7">
        <v>0.6</v>
      </c>
      <c r="G40" s="7">
        <v>0.83330000000000004</v>
      </c>
      <c r="H40" s="8">
        <v>91.23</v>
      </c>
      <c r="I40" s="7">
        <v>0.14130000000000001</v>
      </c>
      <c r="J40" s="7">
        <v>0.87609999999999999</v>
      </c>
      <c r="K40" s="6" t="s">
        <v>1</v>
      </c>
      <c r="L40" s="6" t="s">
        <v>3</v>
      </c>
      <c r="N40" s="6" t="s">
        <v>16</v>
      </c>
      <c r="O40" s="6">
        <v>7.02</v>
      </c>
      <c r="P40" s="6">
        <v>45.62</v>
      </c>
      <c r="Q40" s="6">
        <v>0.42</v>
      </c>
      <c r="R40" s="7">
        <v>0.36670000000000003</v>
      </c>
      <c r="S40" s="7">
        <v>0.6</v>
      </c>
      <c r="T40" s="7">
        <v>0.83330000000000004</v>
      </c>
      <c r="U40" s="8">
        <v>91.23</v>
      </c>
      <c r="V40" s="7">
        <v>0.14130000000000001</v>
      </c>
      <c r="W40" s="7">
        <v>0.87609999999999999</v>
      </c>
      <c r="X40" s="6" t="s">
        <v>1</v>
      </c>
      <c r="Y40" s="6" t="s">
        <v>3</v>
      </c>
    </row>
    <row r="41" spans="1:25" ht="15" customHeight="1" x14ac:dyDescent="0.25">
      <c r="A41" s="6" t="s">
        <v>17</v>
      </c>
      <c r="B41" s="6">
        <v>119.28</v>
      </c>
      <c r="C41" s="6">
        <v>128.75</v>
      </c>
      <c r="D41" s="6">
        <v>0.89</v>
      </c>
      <c r="E41" s="7">
        <v>1.0439000000000001</v>
      </c>
      <c r="F41" s="7">
        <v>0.77780000000000005</v>
      </c>
      <c r="G41" s="7">
        <v>0.78259999999999996</v>
      </c>
      <c r="H41" s="8">
        <v>211.51</v>
      </c>
      <c r="I41" s="7">
        <v>0.45319999999999999</v>
      </c>
      <c r="J41" s="7">
        <v>0.94599999999999995</v>
      </c>
      <c r="K41" s="6" t="s">
        <v>1</v>
      </c>
      <c r="L41" s="6" t="s">
        <v>3</v>
      </c>
      <c r="N41" s="6" t="s">
        <v>17</v>
      </c>
      <c r="O41" s="6">
        <v>119.28</v>
      </c>
      <c r="P41" s="6">
        <v>128.75</v>
      </c>
      <c r="Q41" s="6">
        <v>0.89</v>
      </c>
      <c r="R41" s="7">
        <v>1.0439000000000001</v>
      </c>
      <c r="S41" s="7">
        <v>0.77780000000000005</v>
      </c>
      <c r="T41" s="7">
        <v>0.78259999999999996</v>
      </c>
      <c r="U41" s="8">
        <v>211.51</v>
      </c>
      <c r="V41" s="7">
        <v>0.45319999999999999</v>
      </c>
      <c r="W41" s="7">
        <v>0.94599999999999995</v>
      </c>
      <c r="X41" s="6" t="s">
        <v>1</v>
      </c>
      <c r="Y41" s="6" t="s">
        <v>3</v>
      </c>
    </row>
    <row r="42" spans="1:25" x14ac:dyDescent="0.25">
      <c r="A42" s="6" t="s">
        <v>18</v>
      </c>
      <c r="B42" s="6"/>
      <c r="C42" s="6"/>
      <c r="D42" s="6"/>
      <c r="E42" s="6"/>
      <c r="F42" s="6"/>
      <c r="G42" s="7">
        <v>0.75</v>
      </c>
      <c r="H42" s="8">
        <v>0</v>
      </c>
      <c r="I42" s="6"/>
      <c r="J42" s="6"/>
      <c r="K42" s="6" t="s">
        <v>1</v>
      </c>
      <c r="L42" s="6" t="s">
        <v>3</v>
      </c>
      <c r="N42" s="6" t="s">
        <v>18</v>
      </c>
      <c r="O42" s="6"/>
      <c r="P42" s="6"/>
      <c r="Q42" s="6"/>
      <c r="R42" s="6"/>
      <c r="S42" s="6"/>
      <c r="T42" s="7">
        <v>0.75</v>
      </c>
      <c r="U42" s="8">
        <v>0</v>
      </c>
      <c r="V42" s="6"/>
      <c r="W42" s="6"/>
      <c r="X42" s="6" t="s">
        <v>1</v>
      </c>
      <c r="Y42" s="6" t="s">
        <v>3</v>
      </c>
    </row>
    <row r="43" spans="1:25" x14ac:dyDescent="0.25">
      <c r="A43" s="6" t="s">
        <v>19</v>
      </c>
      <c r="B43" s="6">
        <v>47.86</v>
      </c>
      <c r="C43" s="6">
        <v>102.5</v>
      </c>
      <c r="D43" s="6">
        <v>0.51</v>
      </c>
      <c r="E43" s="7">
        <v>0.92059999999999997</v>
      </c>
      <c r="F43" s="7">
        <v>0.52500000000000002</v>
      </c>
      <c r="G43" s="7">
        <v>0.81479999999999997</v>
      </c>
      <c r="H43" s="8">
        <v>239.62</v>
      </c>
      <c r="I43" s="7">
        <v>0.23150000000000001</v>
      </c>
      <c r="J43" s="7">
        <v>0.66769999999999996</v>
      </c>
      <c r="K43" s="6" t="s">
        <v>1</v>
      </c>
      <c r="L43" s="6" t="s">
        <v>3</v>
      </c>
      <c r="N43" s="6" t="s">
        <v>19</v>
      </c>
      <c r="O43" s="6">
        <v>47.86</v>
      </c>
      <c r="P43" s="6">
        <v>102.5</v>
      </c>
      <c r="Q43" s="6">
        <v>0.51</v>
      </c>
      <c r="R43" s="7">
        <v>0.92059999999999997</v>
      </c>
      <c r="S43" s="7">
        <v>0.52500000000000002</v>
      </c>
      <c r="T43" s="7">
        <v>0.81479999999999997</v>
      </c>
      <c r="U43" s="8">
        <v>239.62</v>
      </c>
      <c r="V43" s="7">
        <v>0.23150000000000001</v>
      </c>
      <c r="W43" s="7">
        <v>0.66769999999999996</v>
      </c>
      <c r="X43" s="6" t="s">
        <v>1</v>
      </c>
      <c r="Y43" s="6" t="s">
        <v>3</v>
      </c>
    </row>
    <row r="44" spans="1:25" x14ac:dyDescent="0.25">
      <c r="A44" s="6" t="s">
        <v>20</v>
      </c>
      <c r="B44" s="6">
        <v>68.53</v>
      </c>
      <c r="C44" s="6">
        <v>140.07</v>
      </c>
      <c r="D44" s="6">
        <v>0.67</v>
      </c>
      <c r="E44" s="7">
        <v>0.73299999999999998</v>
      </c>
      <c r="F44" s="7">
        <v>0.73680000000000001</v>
      </c>
      <c r="G44" s="7">
        <v>0.73170000000000002</v>
      </c>
      <c r="H44" s="8">
        <v>259.8</v>
      </c>
      <c r="I44" s="7">
        <v>0.28320000000000001</v>
      </c>
      <c r="J44" s="7">
        <v>0.89790000000000003</v>
      </c>
      <c r="K44" s="6" t="s">
        <v>1</v>
      </c>
      <c r="L44" s="6" t="s">
        <v>3</v>
      </c>
      <c r="N44" s="6" t="s">
        <v>20</v>
      </c>
      <c r="O44" s="6">
        <v>68.53</v>
      </c>
      <c r="P44" s="6">
        <v>140.07</v>
      </c>
      <c r="Q44" s="6">
        <v>0.67</v>
      </c>
      <c r="R44" s="7">
        <v>0.73299999999999998</v>
      </c>
      <c r="S44" s="7">
        <v>0.73680000000000001</v>
      </c>
      <c r="T44" s="7">
        <v>0.73170000000000002</v>
      </c>
      <c r="U44" s="8">
        <v>259.8</v>
      </c>
      <c r="V44" s="7">
        <v>0.28320000000000001</v>
      </c>
      <c r="W44" s="7">
        <v>0.89790000000000003</v>
      </c>
      <c r="X44" s="6" t="s">
        <v>1</v>
      </c>
      <c r="Y44" s="6" t="s">
        <v>3</v>
      </c>
    </row>
    <row r="45" spans="1:25" x14ac:dyDescent="0.25">
      <c r="A45" s="6" t="s">
        <v>21</v>
      </c>
      <c r="B45" s="6">
        <v>104.52</v>
      </c>
      <c r="C45" s="6">
        <v>165.16</v>
      </c>
      <c r="D45" s="6">
        <v>0.87</v>
      </c>
      <c r="E45" s="7">
        <v>0.73050000000000004</v>
      </c>
      <c r="F45" s="7">
        <v>0.85189999999999999</v>
      </c>
      <c r="G45" s="7">
        <v>0.77780000000000005</v>
      </c>
      <c r="H45" s="8">
        <v>249.29</v>
      </c>
      <c r="I45" s="7">
        <v>0.34370000000000001</v>
      </c>
      <c r="J45" s="7">
        <v>0.93620000000000003</v>
      </c>
      <c r="K45" s="6" t="s">
        <v>1</v>
      </c>
      <c r="L45" s="6" t="s">
        <v>3</v>
      </c>
      <c r="N45" s="6" t="s">
        <v>21</v>
      </c>
      <c r="O45" s="6">
        <v>104.52</v>
      </c>
      <c r="P45" s="6">
        <v>165.16</v>
      </c>
      <c r="Q45" s="6">
        <v>0.87</v>
      </c>
      <c r="R45" s="7">
        <v>0.73050000000000004</v>
      </c>
      <c r="S45" s="7">
        <v>0.85189999999999999</v>
      </c>
      <c r="T45" s="7">
        <v>0.77780000000000005</v>
      </c>
      <c r="U45" s="8">
        <v>249.29</v>
      </c>
      <c r="V45" s="7">
        <v>0.34370000000000001</v>
      </c>
      <c r="W45" s="7">
        <v>0.93620000000000003</v>
      </c>
      <c r="X45" s="6" t="s">
        <v>1</v>
      </c>
      <c r="Y45" s="6" t="s">
        <v>3</v>
      </c>
    </row>
    <row r="46" spans="1:25" x14ac:dyDescent="0.25">
      <c r="A46" s="6" t="s">
        <v>22</v>
      </c>
      <c r="B46" s="6">
        <v>6.71</v>
      </c>
      <c r="C46" s="6">
        <v>120</v>
      </c>
      <c r="D46" s="6">
        <v>0.36</v>
      </c>
      <c r="E46" s="7">
        <v>0.1537</v>
      </c>
      <c r="F46" s="7">
        <v>1</v>
      </c>
      <c r="G46" s="7">
        <v>0.4</v>
      </c>
      <c r="H46" s="8">
        <v>300</v>
      </c>
      <c r="I46" s="7">
        <v>0.1211</v>
      </c>
      <c r="J46" s="7">
        <v>0.9244</v>
      </c>
      <c r="K46" s="6" t="s">
        <v>1</v>
      </c>
      <c r="L46" s="6" t="s">
        <v>4</v>
      </c>
      <c r="N46" s="6" t="s">
        <v>22</v>
      </c>
      <c r="O46" s="6">
        <v>6.71</v>
      </c>
      <c r="P46" s="6">
        <v>120</v>
      </c>
      <c r="Q46" s="6">
        <v>0.36</v>
      </c>
      <c r="R46" s="7">
        <v>0.1537</v>
      </c>
      <c r="S46" s="7">
        <v>1</v>
      </c>
      <c r="T46" s="7">
        <v>0.4</v>
      </c>
      <c r="U46" s="8">
        <v>300</v>
      </c>
      <c r="V46" s="7">
        <v>0.1211</v>
      </c>
      <c r="W46" s="7">
        <v>0.9244</v>
      </c>
      <c r="X46" s="6" t="s">
        <v>1</v>
      </c>
      <c r="Y46" s="6" t="s">
        <v>4</v>
      </c>
    </row>
    <row r="47" spans="1:25" x14ac:dyDescent="0.25">
      <c r="A47" s="6" t="s">
        <v>23</v>
      </c>
      <c r="B47" s="6">
        <v>90.72</v>
      </c>
      <c r="C47" s="6">
        <v>142.49</v>
      </c>
      <c r="D47" s="6">
        <v>0.7</v>
      </c>
      <c r="E47" s="7">
        <v>0.90810000000000002</v>
      </c>
      <c r="F47" s="7">
        <v>0.62709999999999999</v>
      </c>
      <c r="G47" s="7">
        <v>0.83330000000000004</v>
      </c>
      <c r="H47" s="8">
        <v>272.64999999999998</v>
      </c>
      <c r="I47" s="7">
        <v>0.14199999999999999</v>
      </c>
      <c r="J47" s="7">
        <v>0.98560000000000003</v>
      </c>
      <c r="K47" s="6" t="s">
        <v>1</v>
      </c>
      <c r="L47" s="6" t="s">
        <v>4</v>
      </c>
      <c r="N47" s="6" t="s">
        <v>23</v>
      </c>
      <c r="O47" s="6">
        <v>90.72</v>
      </c>
      <c r="P47" s="6">
        <v>142.49</v>
      </c>
      <c r="Q47" s="6">
        <v>0.7</v>
      </c>
      <c r="R47" s="7">
        <v>0.90810000000000002</v>
      </c>
      <c r="S47" s="7">
        <v>0.62709999999999999</v>
      </c>
      <c r="T47" s="7">
        <v>0.83330000000000004</v>
      </c>
      <c r="U47" s="8">
        <v>272.64999999999998</v>
      </c>
      <c r="V47" s="7">
        <v>0.14199999999999999</v>
      </c>
      <c r="W47" s="7">
        <v>0.98560000000000003</v>
      </c>
      <c r="X47" s="6" t="s">
        <v>1</v>
      </c>
      <c r="Y47" s="6" t="s">
        <v>4</v>
      </c>
    </row>
    <row r="48" spans="1:25" x14ac:dyDescent="0.25">
      <c r="A48" s="6" t="s">
        <v>24</v>
      </c>
      <c r="B48" s="6">
        <v>99.56</v>
      </c>
      <c r="C48" s="6">
        <v>150.22999999999999</v>
      </c>
      <c r="D48" s="6">
        <v>0.79</v>
      </c>
      <c r="E48" s="7">
        <v>0.84140000000000004</v>
      </c>
      <c r="F48" s="7">
        <v>0.58209999999999995</v>
      </c>
      <c r="G48" s="7">
        <v>0.75439999999999996</v>
      </c>
      <c r="H48" s="8">
        <v>342.11</v>
      </c>
      <c r="I48" s="7">
        <v>0.1416</v>
      </c>
      <c r="J48" s="7">
        <v>0.95930000000000004</v>
      </c>
      <c r="K48" s="6" t="s">
        <v>1</v>
      </c>
      <c r="L48" s="6" t="s">
        <v>4</v>
      </c>
      <c r="N48" s="6" t="s">
        <v>24</v>
      </c>
      <c r="O48" s="6">
        <v>99.56</v>
      </c>
      <c r="P48" s="6">
        <v>150.22999999999999</v>
      </c>
      <c r="Q48" s="6">
        <v>0.79</v>
      </c>
      <c r="R48" s="7">
        <v>0.84140000000000004</v>
      </c>
      <c r="S48" s="7">
        <v>0.58209999999999995</v>
      </c>
      <c r="T48" s="7">
        <v>0.75439999999999996</v>
      </c>
      <c r="U48" s="8">
        <v>342.11</v>
      </c>
      <c r="V48" s="7">
        <v>0.1416</v>
      </c>
      <c r="W48" s="7">
        <v>0.95930000000000004</v>
      </c>
      <c r="X48" s="6" t="s">
        <v>1</v>
      </c>
      <c r="Y48" s="6" t="s">
        <v>4</v>
      </c>
    </row>
    <row r="49" spans="1:25" x14ac:dyDescent="0.25">
      <c r="A49" s="6" t="s">
        <v>25</v>
      </c>
      <c r="B49" s="6">
        <v>103.37</v>
      </c>
      <c r="C49" s="6">
        <v>241.31</v>
      </c>
      <c r="D49" s="6">
        <v>0.53</v>
      </c>
      <c r="E49" s="7">
        <v>0.80889999999999995</v>
      </c>
      <c r="F49" s="7">
        <v>0.61360000000000003</v>
      </c>
      <c r="G49" s="7">
        <v>0.84</v>
      </c>
      <c r="H49" s="8">
        <v>468.14</v>
      </c>
      <c r="I49" s="7">
        <v>0.27639999999999998</v>
      </c>
      <c r="J49" s="7">
        <v>0.89380000000000004</v>
      </c>
      <c r="K49" s="6" t="s">
        <v>1</v>
      </c>
      <c r="L49" s="6" t="s">
        <v>4</v>
      </c>
      <c r="N49" s="6" t="s">
        <v>25</v>
      </c>
      <c r="O49" s="6">
        <v>103.37</v>
      </c>
      <c r="P49" s="6">
        <v>241.31</v>
      </c>
      <c r="Q49" s="6">
        <v>0.53</v>
      </c>
      <c r="R49" s="7">
        <v>0.80889999999999995</v>
      </c>
      <c r="S49" s="7">
        <v>0.61360000000000003</v>
      </c>
      <c r="T49" s="7">
        <v>0.84</v>
      </c>
      <c r="U49" s="8">
        <v>468.14</v>
      </c>
      <c r="V49" s="7">
        <v>0.27639999999999998</v>
      </c>
      <c r="W49" s="7">
        <v>0.89380000000000004</v>
      </c>
      <c r="X49" s="6" t="s">
        <v>1</v>
      </c>
      <c r="Y49" s="6" t="s">
        <v>4</v>
      </c>
    </row>
    <row r="50" spans="1:25" x14ac:dyDescent="0.25">
      <c r="A50" s="6" t="s">
        <v>26</v>
      </c>
      <c r="B50" s="6">
        <v>96.9</v>
      </c>
      <c r="C50" s="6">
        <v>183.56</v>
      </c>
      <c r="D50" s="6">
        <v>0.69</v>
      </c>
      <c r="E50" s="7">
        <v>0.76929999999999998</v>
      </c>
      <c r="F50" s="7">
        <v>0.73170000000000002</v>
      </c>
      <c r="G50" s="7">
        <v>0.63329999999999997</v>
      </c>
      <c r="H50" s="8">
        <v>396.11</v>
      </c>
      <c r="I50" s="7">
        <v>0.12559999999999999</v>
      </c>
      <c r="J50" s="7">
        <v>0.9526</v>
      </c>
      <c r="K50" s="6" t="s">
        <v>1</v>
      </c>
      <c r="L50" s="6" t="s">
        <v>4</v>
      </c>
      <c r="N50" s="6" t="s">
        <v>26</v>
      </c>
      <c r="O50" s="6">
        <v>96.9</v>
      </c>
      <c r="P50" s="6">
        <v>183.56</v>
      </c>
      <c r="Q50" s="6">
        <v>0.69</v>
      </c>
      <c r="R50" s="7">
        <v>0.76929999999999998</v>
      </c>
      <c r="S50" s="7">
        <v>0.73170000000000002</v>
      </c>
      <c r="T50" s="7">
        <v>0.63329999999999997</v>
      </c>
      <c r="U50" s="8">
        <v>396.11</v>
      </c>
      <c r="V50" s="7">
        <v>0.12559999999999999</v>
      </c>
      <c r="W50" s="7">
        <v>0.9526</v>
      </c>
      <c r="X50" s="6" t="s">
        <v>1</v>
      </c>
      <c r="Y50" s="6" t="s">
        <v>4</v>
      </c>
    </row>
    <row r="51" spans="1:25" x14ac:dyDescent="0.25">
      <c r="A51" s="6" t="s">
        <v>27</v>
      </c>
      <c r="B51" s="6">
        <v>92.03</v>
      </c>
      <c r="C51" s="6">
        <v>201.07</v>
      </c>
      <c r="D51" s="6">
        <v>0.63</v>
      </c>
      <c r="E51" s="7">
        <v>0.72219999999999995</v>
      </c>
      <c r="F51" s="7">
        <v>0.71740000000000004</v>
      </c>
      <c r="G51" s="7">
        <v>0.78569999999999995</v>
      </c>
      <c r="H51" s="8">
        <v>356.73</v>
      </c>
      <c r="I51" s="7">
        <v>0.26069999999999999</v>
      </c>
      <c r="J51" s="7">
        <v>1.0307999999999999</v>
      </c>
      <c r="K51" s="6" t="s">
        <v>1</v>
      </c>
      <c r="L51" s="6" t="s">
        <v>4</v>
      </c>
      <c r="N51" s="6" t="s">
        <v>27</v>
      </c>
      <c r="O51" s="6">
        <v>92.03</v>
      </c>
      <c r="P51" s="6">
        <v>201.07</v>
      </c>
      <c r="Q51" s="6">
        <v>0.63</v>
      </c>
      <c r="R51" s="7">
        <v>0.72219999999999995</v>
      </c>
      <c r="S51" s="7">
        <v>0.71740000000000004</v>
      </c>
      <c r="T51" s="7">
        <v>0.78569999999999995</v>
      </c>
      <c r="U51" s="8">
        <v>356.73</v>
      </c>
      <c r="V51" s="7">
        <v>0.26069999999999999</v>
      </c>
      <c r="W51" s="7">
        <v>1.0307999999999999</v>
      </c>
      <c r="X51" s="6" t="s">
        <v>1</v>
      </c>
      <c r="Y51" s="6" t="s">
        <v>4</v>
      </c>
    </row>
    <row r="52" spans="1:25" x14ac:dyDescent="0.25">
      <c r="A52" s="6" t="s">
        <v>28</v>
      </c>
      <c r="B52" s="6">
        <v>16.010000000000002</v>
      </c>
      <c r="C52" s="6">
        <v>72.5</v>
      </c>
      <c r="D52" s="6">
        <v>0.45</v>
      </c>
      <c r="E52" s="7">
        <v>0.48770000000000002</v>
      </c>
      <c r="F52" s="7">
        <v>0.4118</v>
      </c>
      <c r="G52" s="7">
        <v>0.84619999999999995</v>
      </c>
      <c r="H52" s="8">
        <v>208.09</v>
      </c>
      <c r="I52" s="7">
        <v>0.10829999999999999</v>
      </c>
      <c r="J52" s="7">
        <v>0.93379999999999996</v>
      </c>
      <c r="K52" s="6" t="s">
        <v>1</v>
      </c>
      <c r="L52" s="6" t="s">
        <v>4</v>
      </c>
      <c r="N52" s="6" t="s">
        <v>28</v>
      </c>
      <c r="O52" s="6">
        <v>16.010000000000002</v>
      </c>
      <c r="P52" s="6">
        <v>72.5</v>
      </c>
      <c r="Q52" s="6">
        <v>0.45</v>
      </c>
      <c r="R52" s="7">
        <v>0.48770000000000002</v>
      </c>
      <c r="S52" s="7">
        <v>0.4118</v>
      </c>
      <c r="T52" s="7">
        <v>0.84619999999999995</v>
      </c>
      <c r="U52" s="8">
        <v>208.09</v>
      </c>
      <c r="V52" s="7">
        <v>0.10829999999999999</v>
      </c>
      <c r="W52" s="7">
        <v>0.93379999999999996</v>
      </c>
      <c r="X52" s="6" t="s">
        <v>1</v>
      </c>
      <c r="Y52" s="6" t="s">
        <v>4</v>
      </c>
    </row>
    <row r="53" spans="1:25" x14ac:dyDescent="0.25">
      <c r="A53" s="6" t="s">
        <v>29</v>
      </c>
      <c r="B53" s="6">
        <v>181.05</v>
      </c>
      <c r="C53" s="6">
        <v>307.05</v>
      </c>
      <c r="D53" s="6">
        <v>0.73</v>
      </c>
      <c r="E53" s="7">
        <v>0.80689999999999995</v>
      </c>
      <c r="F53" s="7">
        <v>0.61399999999999999</v>
      </c>
      <c r="G53" s="7">
        <v>0.72409999999999997</v>
      </c>
      <c r="H53" s="8">
        <v>690.55</v>
      </c>
      <c r="I53" s="7">
        <v>0.16869999999999999</v>
      </c>
      <c r="J53" s="7">
        <v>0.87939999999999996</v>
      </c>
      <c r="K53" s="6" t="s">
        <v>1</v>
      </c>
      <c r="L53" s="6" t="s">
        <v>4</v>
      </c>
      <c r="N53" s="6" t="s">
        <v>29</v>
      </c>
      <c r="O53" s="6">
        <v>181.05</v>
      </c>
      <c r="P53" s="6">
        <v>307.05</v>
      </c>
      <c r="Q53" s="6">
        <v>0.73</v>
      </c>
      <c r="R53" s="7">
        <v>0.80689999999999995</v>
      </c>
      <c r="S53" s="7">
        <v>0.61399999999999999</v>
      </c>
      <c r="T53" s="7">
        <v>0.72409999999999997</v>
      </c>
      <c r="U53" s="8">
        <v>690.55</v>
      </c>
      <c r="V53" s="7">
        <v>0.16869999999999999</v>
      </c>
      <c r="W53" s="7">
        <v>0.87939999999999996</v>
      </c>
      <c r="X53" s="6" t="s">
        <v>1</v>
      </c>
      <c r="Y53" s="6" t="s">
        <v>4</v>
      </c>
    </row>
    <row r="54" spans="1:25" x14ac:dyDescent="0.25">
      <c r="A54" s="6" t="s">
        <v>30</v>
      </c>
      <c r="B54" s="6">
        <v>38.090000000000003</v>
      </c>
      <c r="C54" s="6">
        <v>106.9</v>
      </c>
      <c r="D54" s="6">
        <v>0.59</v>
      </c>
      <c r="E54" s="7">
        <v>0.60319999999999996</v>
      </c>
      <c r="F54" s="7">
        <v>0.52629999999999999</v>
      </c>
      <c r="G54" s="7">
        <v>0.86050000000000004</v>
      </c>
      <c r="H54" s="8">
        <v>236.05</v>
      </c>
      <c r="I54" s="7">
        <v>8.2500000000000004E-2</v>
      </c>
      <c r="J54" s="7">
        <v>1.0159</v>
      </c>
      <c r="K54" s="6" t="s">
        <v>1</v>
      </c>
      <c r="L54" s="6" t="s">
        <v>4</v>
      </c>
      <c r="N54" s="6" t="s">
        <v>30</v>
      </c>
      <c r="O54" s="6">
        <v>38.090000000000003</v>
      </c>
      <c r="P54" s="6">
        <v>106.9</v>
      </c>
      <c r="Q54" s="6">
        <v>0.59</v>
      </c>
      <c r="R54" s="7">
        <v>0.60319999999999996</v>
      </c>
      <c r="S54" s="7">
        <v>0.52629999999999999</v>
      </c>
      <c r="T54" s="7">
        <v>0.86050000000000004</v>
      </c>
      <c r="U54" s="8">
        <v>236.05</v>
      </c>
      <c r="V54" s="7">
        <v>8.2500000000000004E-2</v>
      </c>
      <c r="W54" s="7">
        <v>1.0159</v>
      </c>
      <c r="X54" s="6" t="s">
        <v>1</v>
      </c>
      <c r="Y54" s="6" t="s">
        <v>4</v>
      </c>
    </row>
    <row r="55" spans="1:25" x14ac:dyDescent="0.25">
      <c r="A55" s="6" t="s">
        <v>31</v>
      </c>
      <c r="B55" s="6">
        <v>119.75</v>
      </c>
      <c r="C55" s="6">
        <v>153.78</v>
      </c>
      <c r="D55" s="6">
        <v>0.9</v>
      </c>
      <c r="E55" s="7">
        <v>0.86370000000000002</v>
      </c>
      <c r="F55" s="7">
        <v>0.59760000000000002</v>
      </c>
      <c r="G55" s="7">
        <v>0.65629999999999999</v>
      </c>
      <c r="H55" s="8">
        <v>392.14</v>
      </c>
      <c r="I55" s="7">
        <v>0.1487</v>
      </c>
      <c r="J55" s="7">
        <v>0.99350000000000005</v>
      </c>
      <c r="K55" s="6" t="s">
        <v>1</v>
      </c>
      <c r="L55" s="6" t="s">
        <v>4</v>
      </c>
      <c r="N55" s="6" t="s">
        <v>31</v>
      </c>
      <c r="O55" s="6">
        <v>119.75</v>
      </c>
      <c r="P55" s="6">
        <v>153.78</v>
      </c>
      <c r="Q55" s="6">
        <v>0.9</v>
      </c>
      <c r="R55" s="7">
        <v>0.86370000000000002</v>
      </c>
      <c r="S55" s="7">
        <v>0.59760000000000002</v>
      </c>
      <c r="T55" s="7">
        <v>0.65629999999999999</v>
      </c>
      <c r="U55" s="8">
        <v>392.14</v>
      </c>
      <c r="V55" s="7">
        <v>0.1487</v>
      </c>
      <c r="W55" s="7">
        <v>0.99350000000000005</v>
      </c>
      <c r="X55" s="6" t="s">
        <v>1</v>
      </c>
      <c r="Y55" s="6" t="s">
        <v>4</v>
      </c>
    </row>
    <row r="56" spans="1:25" x14ac:dyDescent="0.25">
      <c r="A56" s="6" t="s">
        <v>72</v>
      </c>
      <c r="B56" s="6">
        <v>119.75</v>
      </c>
      <c r="C56" s="6">
        <v>153.78</v>
      </c>
      <c r="D56" s="6">
        <v>0.9</v>
      </c>
      <c r="E56" s="7">
        <v>0.86370000000000002</v>
      </c>
      <c r="F56" s="7">
        <v>0.59760000000000002</v>
      </c>
      <c r="G56" s="7">
        <v>0.65629999999999999</v>
      </c>
      <c r="H56" s="8">
        <v>392.14</v>
      </c>
      <c r="I56" s="7">
        <v>0.1487</v>
      </c>
      <c r="J56" s="7">
        <v>0.99350000000000005</v>
      </c>
      <c r="K56" s="6" t="s">
        <v>1</v>
      </c>
      <c r="L56" s="6" t="s">
        <v>75</v>
      </c>
    </row>
    <row r="57" spans="1:25" x14ac:dyDescent="0.25">
      <c r="A57" s="6" t="s">
        <v>73</v>
      </c>
      <c r="B57" s="6">
        <v>119.75</v>
      </c>
      <c r="C57" s="6">
        <v>153.78</v>
      </c>
      <c r="D57" s="6">
        <v>0.9</v>
      </c>
      <c r="E57" s="7">
        <v>0.86370000000000002</v>
      </c>
      <c r="F57" s="7">
        <v>0.59760000000000002</v>
      </c>
      <c r="G57" s="7">
        <v>0.65629999999999999</v>
      </c>
      <c r="H57" s="8">
        <v>392.14</v>
      </c>
      <c r="I57" s="7">
        <v>0.1487</v>
      </c>
      <c r="J57" s="7">
        <v>0.99350000000000005</v>
      </c>
      <c r="K57" s="6" t="s">
        <v>1</v>
      </c>
      <c r="L57" s="6" t="s">
        <v>75</v>
      </c>
    </row>
    <row r="58" spans="1:25" x14ac:dyDescent="0.25">
      <c r="A58" s="6" t="s">
        <v>74</v>
      </c>
      <c r="B58" s="6">
        <v>119.75</v>
      </c>
      <c r="C58" s="6">
        <v>153.78</v>
      </c>
      <c r="D58" s="6">
        <v>0.9</v>
      </c>
      <c r="E58" s="7">
        <v>0.86370000000000002</v>
      </c>
      <c r="F58" s="7">
        <v>0.59760000000000002</v>
      </c>
      <c r="G58" s="7">
        <v>0.65629999999999999</v>
      </c>
      <c r="H58" s="8">
        <v>392.14</v>
      </c>
      <c r="I58" s="7">
        <v>0.1487</v>
      </c>
      <c r="J58" s="7">
        <v>0.99350000000000005</v>
      </c>
      <c r="K58" s="6" t="s">
        <v>1</v>
      </c>
      <c r="L58" s="6" t="s">
        <v>76</v>
      </c>
    </row>
    <row r="59" spans="1:25" x14ac:dyDescent="0.25">
      <c r="E59" s="1"/>
      <c r="F59" s="1"/>
      <c r="G59" s="1"/>
      <c r="H59" s="2"/>
      <c r="I59" s="1"/>
      <c r="J59" s="1"/>
    </row>
    <row r="60" spans="1:25" x14ac:dyDescent="0.25">
      <c r="E60" s="1"/>
      <c r="F60" s="1"/>
      <c r="G60" s="1"/>
      <c r="H60" s="2"/>
      <c r="I60" s="1"/>
      <c r="J60" s="1"/>
    </row>
    <row r="61" spans="1:25" x14ac:dyDescent="0.25">
      <c r="E61" s="1"/>
      <c r="F61" s="1"/>
      <c r="G61" s="1"/>
      <c r="H61" s="2"/>
      <c r="I61" s="1"/>
      <c r="J61" s="1"/>
    </row>
    <row r="62" spans="1:25" x14ac:dyDescent="0.25">
      <c r="E62" s="1"/>
      <c r="F62" s="1"/>
      <c r="G62" s="1"/>
      <c r="H62" s="2"/>
      <c r="I62" s="1"/>
      <c r="J62" s="1"/>
    </row>
    <row r="63" spans="1:25" x14ac:dyDescent="0.25">
      <c r="E63" s="1"/>
      <c r="F63" s="1"/>
      <c r="G63" s="1"/>
      <c r="H63" s="2"/>
      <c r="I63" s="1"/>
      <c r="J63" s="1"/>
    </row>
    <row r="64" spans="1:25" x14ac:dyDescent="0.25">
      <c r="E64" s="1"/>
      <c r="F64" s="1"/>
      <c r="G64" s="1"/>
      <c r="H64" s="2"/>
      <c r="I64" s="1"/>
      <c r="J64" s="1"/>
    </row>
    <row r="65" spans="5:10" x14ac:dyDescent="0.25">
      <c r="E65" s="1"/>
      <c r="F65" s="1"/>
      <c r="G65" s="1"/>
      <c r="H65" s="2"/>
      <c r="I65" s="1"/>
      <c r="J65" s="1"/>
    </row>
    <row r="66" spans="5:10" x14ac:dyDescent="0.25">
      <c r="E66" s="1"/>
      <c r="F66" s="1"/>
      <c r="G66" s="1"/>
      <c r="H66" s="2"/>
      <c r="I66" s="1"/>
      <c r="J66" s="1"/>
    </row>
    <row r="67" spans="5:10" x14ac:dyDescent="0.25">
      <c r="E67" s="1"/>
      <c r="F67" s="1"/>
      <c r="G67" s="1"/>
      <c r="H67" s="2"/>
      <c r="I67" s="1"/>
      <c r="J67" s="1"/>
    </row>
    <row r="68" spans="5:10" x14ac:dyDescent="0.25">
      <c r="E68" s="1"/>
      <c r="F68" s="1"/>
      <c r="G68" s="1"/>
      <c r="H68" s="2"/>
      <c r="I68" s="1"/>
      <c r="J68" s="1"/>
    </row>
    <row r="69" spans="5:10" x14ac:dyDescent="0.25">
      <c r="E69" s="1"/>
      <c r="F69" s="1"/>
      <c r="G69" s="1"/>
      <c r="H69" s="2"/>
      <c r="I69" s="1"/>
      <c r="J69" s="1"/>
    </row>
    <row r="70" spans="5:10" x14ac:dyDescent="0.25">
      <c r="E70" s="1"/>
      <c r="F70" s="1"/>
      <c r="G70" s="1"/>
      <c r="H70" s="2"/>
      <c r="I70" s="1"/>
      <c r="J70" s="1"/>
    </row>
    <row r="71" spans="5:10" x14ac:dyDescent="0.25">
      <c r="G71" s="1"/>
      <c r="H71" s="2"/>
    </row>
    <row r="72" spans="5:10" x14ac:dyDescent="0.25">
      <c r="E72" s="1"/>
      <c r="F72" s="1"/>
      <c r="G72" s="1"/>
      <c r="H72" s="2"/>
      <c r="I72" s="1"/>
      <c r="J72" s="1"/>
    </row>
    <row r="73" spans="5:10" x14ac:dyDescent="0.25">
      <c r="E73" s="1"/>
      <c r="F73" s="1"/>
      <c r="G73" s="1"/>
      <c r="H73" s="2"/>
      <c r="I73" s="1"/>
      <c r="J73" s="1"/>
    </row>
    <row r="74" spans="5:10" x14ac:dyDescent="0.25">
      <c r="E74" s="1"/>
      <c r="F74" s="1"/>
      <c r="G74" s="1"/>
      <c r="H74" s="2"/>
      <c r="I74" s="1"/>
      <c r="J74" s="1"/>
    </row>
    <row r="75" spans="5:10" x14ac:dyDescent="0.25">
      <c r="E75" s="1"/>
      <c r="F75" s="1"/>
      <c r="G75" s="1"/>
      <c r="H75" s="2"/>
      <c r="I75" s="1"/>
      <c r="J75" s="1"/>
    </row>
    <row r="76" spans="5:10" x14ac:dyDescent="0.25">
      <c r="E76" s="1"/>
      <c r="F76" s="1"/>
      <c r="G76" s="1"/>
      <c r="H76" s="2"/>
      <c r="I76" s="1"/>
      <c r="J76" s="1"/>
    </row>
    <row r="77" spans="5:10" x14ac:dyDescent="0.25">
      <c r="E77" s="1"/>
      <c r="F77" s="1"/>
      <c r="G77" s="1"/>
      <c r="H77" s="2"/>
      <c r="I77" s="1"/>
      <c r="J77" s="1"/>
    </row>
    <row r="78" spans="5:10" x14ac:dyDescent="0.25">
      <c r="E78" s="1"/>
      <c r="F78" s="1"/>
      <c r="G78" s="1"/>
      <c r="H78" s="2"/>
      <c r="I78" s="1"/>
      <c r="J78" s="1"/>
    </row>
    <row r="79" spans="5:10" x14ac:dyDescent="0.25">
      <c r="E79" s="1"/>
      <c r="F79" s="1"/>
      <c r="G79" s="1"/>
      <c r="H79" s="2"/>
      <c r="I79" s="1"/>
      <c r="J79" s="1"/>
    </row>
    <row r="80" spans="5:10" x14ac:dyDescent="0.25">
      <c r="E80" s="1"/>
      <c r="F80" s="1"/>
      <c r="G80" s="1"/>
      <c r="H80" s="2"/>
      <c r="I80" s="1"/>
      <c r="J80" s="1"/>
    </row>
    <row r="81" spans="5:10" x14ac:dyDescent="0.25">
      <c r="E81" s="1"/>
      <c r="F81" s="1"/>
      <c r="G81" s="1"/>
      <c r="H81" s="2"/>
      <c r="I81" s="1"/>
    </row>
    <row r="82" spans="5:10" x14ac:dyDescent="0.25">
      <c r="E82" s="1"/>
      <c r="F82" s="1"/>
      <c r="G82" s="1"/>
      <c r="H82" s="2"/>
      <c r="I82" s="1"/>
      <c r="J82" s="1"/>
    </row>
    <row r="83" spans="5:10" x14ac:dyDescent="0.25">
      <c r="E83" s="1"/>
      <c r="F83" s="1"/>
      <c r="G83" s="1"/>
      <c r="H83" s="2"/>
      <c r="I83" s="1"/>
      <c r="J83" s="1"/>
    </row>
    <row r="84" spans="5:10" x14ac:dyDescent="0.25">
      <c r="E84" s="1"/>
      <c r="F84" s="1"/>
      <c r="G84" s="1"/>
      <c r="H84" s="2"/>
      <c r="I84" s="1"/>
      <c r="J84" s="1"/>
    </row>
    <row r="85" spans="5:10" x14ac:dyDescent="0.25">
      <c r="E85" s="1"/>
      <c r="F85" s="1"/>
      <c r="G85" s="1"/>
      <c r="H85" s="2"/>
      <c r="I85" s="1"/>
      <c r="J85" s="1"/>
    </row>
    <row r="86" spans="5:10" x14ac:dyDescent="0.25">
      <c r="E86" s="1"/>
      <c r="F86" s="1"/>
      <c r="G86" s="1"/>
      <c r="H86" s="2"/>
      <c r="I86" s="1"/>
      <c r="J86" s="1"/>
    </row>
    <row r="87" spans="5:10" x14ac:dyDescent="0.25">
      <c r="E87" s="1"/>
      <c r="F87" s="1"/>
      <c r="G87" s="1"/>
      <c r="H87" s="2"/>
      <c r="I87" s="1"/>
      <c r="J87" s="1"/>
    </row>
    <row r="88" spans="5:10" x14ac:dyDescent="0.25">
      <c r="E88" s="1"/>
      <c r="F88" s="1"/>
      <c r="G88" s="1"/>
      <c r="H88" s="2"/>
      <c r="I88" s="1"/>
      <c r="J88" s="1"/>
    </row>
    <row r="89" spans="5:10" x14ac:dyDescent="0.25">
      <c r="E89" s="1"/>
      <c r="F89" s="1"/>
      <c r="G89" s="1"/>
      <c r="H89" s="2"/>
      <c r="I89" s="1"/>
      <c r="J89" s="1"/>
    </row>
    <row r="90" spans="5:10" x14ac:dyDescent="0.25">
      <c r="E90" s="1"/>
      <c r="F90" s="1"/>
      <c r="G90" s="1"/>
      <c r="H90" s="2"/>
      <c r="I90" s="1"/>
      <c r="J90" s="1"/>
    </row>
    <row r="91" spans="5:10" x14ac:dyDescent="0.25">
      <c r="E91" s="1"/>
      <c r="F91" s="1"/>
      <c r="G91" s="1"/>
      <c r="H91" s="2"/>
      <c r="I91" s="1"/>
      <c r="J91" s="1"/>
    </row>
    <row r="92" spans="5:10" x14ac:dyDescent="0.25">
      <c r="E92" s="1"/>
    </row>
    <row r="93" spans="5:10" x14ac:dyDescent="0.25">
      <c r="E93" s="1"/>
      <c r="F93" s="1"/>
      <c r="G93" s="1"/>
      <c r="H93" s="2"/>
      <c r="I93" s="1"/>
      <c r="J93" s="1"/>
    </row>
    <row r="94" spans="5:10" x14ac:dyDescent="0.25">
      <c r="E94" s="1"/>
      <c r="F94" s="1"/>
      <c r="G94" s="1"/>
      <c r="H94" s="2"/>
      <c r="I94" s="1"/>
      <c r="J94" s="1"/>
    </row>
    <row r="95" spans="5:10" x14ac:dyDescent="0.25">
      <c r="E95" s="1"/>
      <c r="F95" s="1"/>
      <c r="G95" s="1"/>
      <c r="H95" s="2"/>
      <c r="I95" s="1"/>
      <c r="J95" s="1"/>
    </row>
    <row r="96" spans="5:10" x14ac:dyDescent="0.25">
      <c r="E96" s="1"/>
      <c r="F96" s="1"/>
      <c r="G96" s="1"/>
      <c r="H96" s="2"/>
      <c r="I96" s="1"/>
      <c r="J96" s="1"/>
    </row>
    <row r="97" spans="5:10" x14ac:dyDescent="0.25">
      <c r="E97" s="1"/>
    </row>
    <row r="98" spans="5:10" x14ac:dyDescent="0.25">
      <c r="E98" s="1"/>
      <c r="F98" s="1"/>
      <c r="G98" s="1"/>
      <c r="H98" s="2"/>
      <c r="I98" s="1"/>
      <c r="J98" s="1"/>
    </row>
    <row r="99" spans="5:10" x14ac:dyDescent="0.25">
      <c r="E99" s="1"/>
      <c r="F99" s="1"/>
      <c r="G99" s="1"/>
      <c r="H99" s="2"/>
      <c r="I99" s="1"/>
      <c r="J99" s="1"/>
    </row>
    <row r="100" spans="5:10" x14ac:dyDescent="0.25">
      <c r="E100" s="1"/>
      <c r="F100" s="1"/>
      <c r="G100" s="1"/>
      <c r="H100" s="2"/>
      <c r="I100" s="1"/>
      <c r="J100" s="1"/>
    </row>
    <row r="101" spans="5:10" x14ac:dyDescent="0.25">
      <c r="E101" s="1"/>
      <c r="G101" s="1"/>
      <c r="H101" s="2"/>
      <c r="I101" s="1"/>
    </row>
    <row r="102" spans="5:10" x14ac:dyDescent="0.25">
      <c r="E102" s="1"/>
      <c r="F102" s="1"/>
      <c r="G102" s="1"/>
      <c r="H102" s="2"/>
      <c r="I102" s="1"/>
      <c r="J102" s="1"/>
    </row>
    <row r="103" spans="5:10" x14ac:dyDescent="0.25">
      <c r="E103" s="1"/>
      <c r="G103" s="1"/>
      <c r="H103" s="2"/>
      <c r="I103" s="1"/>
    </row>
    <row r="104" spans="5:10" x14ac:dyDescent="0.25">
      <c r="E104" s="1"/>
      <c r="F104" s="1"/>
      <c r="G104" s="1"/>
      <c r="H104" s="2"/>
      <c r="I104" s="1"/>
      <c r="J104" s="1"/>
    </row>
    <row r="105" spans="5:10" x14ac:dyDescent="0.25">
      <c r="E105" s="1"/>
      <c r="F105" s="1"/>
      <c r="G105" s="1"/>
      <c r="H105" s="2"/>
      <c r="I105" s="1"/>
      <c r="J105" s="1"/>
    </row>
    <row r="106" spans="5:10" x14ac:dyDescent="0.25">
      <c r="E106" s="1"/>
      <c r="F106" s="1"/>
      <c r="G106" s="1"/>
      <c r="H106" s="2"/>
      <c r="I106" s="1"/>
      <c r="J106" s="1"/>
    </row>
    <row r="107" spans="5:10" x14ac:dyDescent="0.25">
      <c r="E107" s="1"/>
      <c r="F107" s="1"/>
      <c r="G107" s="1"/>
      <c r="H107" s="2"/>
      <c r="I107" s="1"/>
      <c r="J107" s="1"/>
    </row>
    <row r="108" spans="5:10" x14ac:dyDescent="0.25">
      <c r="E108" s="1"/>
      <c r="F108" s="1"/>
      <c r="G108" s="1"/>
      <c r="H108" s="2"/>
      <c r="I108" s="1"/>
      <c r="J108" s="1"/>
    </row>
    <row r="109" spans="5:10" x14ac:dyDescent="0.25">
      <c r="E109" s="1"/>
      <c r="F109" s="1"/>
      <c r="G109" s="1"/>
      <c r="H109" s="2"/>
      <c r="I109" s="1"/>
      <c r="J109" s="1"/>
    </row>
    <row r="110" spans="5:10" x14ac:dyDescent="0.25">
      <c r="E110" s="1"/>
      <c r="F110" s="1"/>
      <c r="G110" s="1"/>
      <c r="H110" s="2"/>
      <c r="I110" s="1"/>
      <c r="J110" s="1"/>
    </row>
    <row r="111" spans="5:10" x14ac:dyDescent="0.25">
      <c r="E111" s="1"/>
      <c r="F111" s="1"/>
      <c r="G111" s="1"/>
      <c r="H111" s="2"/>
      <c r="I111" s="1"/>
      <c r="J111" s="1"/>
    </row>
    <row r="112" spans="5:10" x14ac:dyDescent="0.25">
      <c r="E112" s="1"/>
      <c r="F112" s="1"/>
      <c r="G112" s="1"/>
      <c r="H112" s="2"/>
      <c r="I112" s="1"/>
      <c r="J112" s="1"/>
    </row>
  </sheetData>
  <sortState ref="A2:L139">
    <sortCondition ref="L2:L139"/>
    <sortCondition ref="A2:A13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Template1"/>
  <dimension ref="A1:S126"/>
  <sheetViews>
    <sheetView workbookViewId="0">
      <selection activeCell="C5" sqref="C5"/>
    </sheetView>
  </sheetViews>
  <sheetFormatPr defaultRowHeight="15" x14ac:dyDescent="0.25"/>
  <cols>
    <col min="1" max="1" width="14.140625" bestFit="1" customWidth="1"/>
    <col min="2" max="2" width="9.85546875" customWidth="1"/>
    <col min="3" max="3" width="11" customWidth="1"/>
    <col min="4" max="4" width="8.7109375" customWidth="1"/>
    <col min="5" max="8" width="7.7109375" bestFit="1" customWidth="1"/>
    <col min="9" max="9" width="9.28515625" customWidth="1"/>
    <col min="10" max="10" width="13" customWidth="1"/>
    <col min="11" max="11" width="10.28515625" customWidth="1"/>
    <col min="12" max="12" width="12.5703125" customWidth="1"/>
    <col min="13" max="13" width="12.28515625" customWidth="1"/>
    <col min="14" max="14" width="11.85546875" customWidth="1"/>
    <col min="15" max="15" width="13.85546875" customWidth="1"/>
    <col min="16" max="19" width="7.7109375" bestFit="1" customWidth="1"/>
  </cols>
  <sheetData>
    <row r="1" spans="1:19" ht="18.75" x14ac:dyDescent="0.3">
      <c r="A1" s="5" t="s">
        <v>2</v>
      </c>
    </row>
    <row r="3" spans="1:19" ht="18.75" x14ac:dyDescent="0.3">
      <c r="A3" s="4" t="str">
        <f>'Master Data'!B1</f>
        <v>Col1</v>
      </c>
    </row>
    <row r="4" spans="1:19" ht="30" customHeight="1" x14ac:dyDescent="0.25">
      <c r="A4" s="10" t="s">
        <v>43</v>
      </c>
      <c r="B4" s="10" t="s">
        <v>44</v>
      </c>
      <c r="C4" s="10" t="s">
        <v>1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  <c r="J4" s="10" t="s">
        <v>51</v>
      </c>
      <c r="K4" s="10" t="s">
        <v>52</v>
      </c>
      <c r="L4" s="10" t="s">
        <v>53</v>
      </c>
      <c r="M4" s="10" t="s">
        <v>54</v>
      </c>
      <c r="N4" s="9" t="s">
        <v>63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</row>
    <row r="5" spans="1:19" x14ac:dyDescent="0.25">
      <c r="A5" s="6" t="s">
        <v>13</v>
      </c>
      <c r="B5" s="14">
        <v>58.39</v>
      </c>
      <c r="C5" s="14">
        <v>58.39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36">
        <f t="shared" ref="N5:N11" si="0">IFERROR(AVERAGE(B5:M13),"")</f>
        <v>62.061250000000001</v>
      </c>
      <c r="O5" s="25"/>
      <c r="P5" s="37">
        <f t="shared" ref="P5:P11" si="1">IFERROR(AVERAGE(B5:D13),"")</f>
        <v>62.061250000000001</v>
      </c>
      <c r="Q5" s="37" t="str">
        <f t="shared" ref="Q5:Q11" si="2">IFERROR(AVERAGE(E5:G13),"")</f>
        <v/>
      </c>
      <c r="R5" s="37" t="str">
        <f t="shared" ref="R5:R11" si="3">IFERROR(AVERAGE(H5:J13),"")</f>
        <v/>
      </c>
      <c r="S5" s="37" t="str">
        <f t="shared" ref="S5:S11" si="4">IFERROR(AVERAGE(K5:M13),"")</f>
        <v/>
      </c>
    </row>
    <row r="6" spans="1:19" x14ac:dyDescent="0.25">
      <c r="A6" t="s">
        <v>6</v>
      </c>
      <c r="B6" s="14">
        <v>54.72</v>
      </c>
      <c r="C6" s="14">
        <v>54.72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>
        <f t="shared" si="0"/>
        <v>62.520156250000007</v>
      </c>
      <c r="O6" s="26"/>
      <c r="P6" s="27">
        <f t="shared" si="1"/>
        <v>62.520156250000007</v>
      </c>
      <c r="Q6" s="14" t="str">
        <f t="shared" si="2"/>
        <v/>
      </c>
      <c r="R6" s="14" t="str">
        <f t="shared" si="3"/>
        <v/>
      </c>
      <c r="S6" s="14" t="str">
        <f t="shared" si="4"/>
        <v/>
      </c>
    </row>
    <row r="7" spans="1:19" x14ac:dyDescent="0.25">
      <c r="A7" t="s">
        <v>7</v>
      </c>
      <c r="B7" s="14">
        <v>89.6</v>
      </c>
      <c r="C7" s="14">
        <v>89.6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 t="shared" si="0"/>
        <v>63.634464285714287</v>
      </c>
      <c r="O7" s="26"/>
      <c r="P7" s="27">
        <f t="shared" si="1"/>
        <v>63.634464285714287</v>
      </c>
      <c r="Q7" s="14" t="str">
        <f t="shared" si="2"/>
        <v/>
      </c>
      <c r="R7" s="14" t="str">
        <f t="shared" si="3"/>
        <v/>
      </c>
      <c r="S7" s="14" t="str">
        <f t="shared" si="4"/>
        <v/>
      </c>
    </row>
    <row r="8" spans="1:19" x14ac:dyDescent="0.25">
      <c r="A8" t="s">
        <v>8</v>
      </c>
      <c r="B8" s="14">
        <v>37.24</v>
      </c>
      <c r="C8" s="14">
        <v>37.24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 t="shared" si="0"/>
        <v>59.306874999999998</v>
      </c>
      <c r="O8" s="26"/>
      <c r="P8" s="27">
        <f t="shared" si="1"/>
        <v>59.306874999999998</v>
      </c>
      <c r="Q8" s="14" t="str">
        <f t="shared" si="2"/>
        <v/>
      </c>
      <c r="R8" s="14" t="str">
        <f t="shared" si="3"/>
        <v/>
      </c>
      <c r="S8" s="14" t="str">
        <f t="shared" si="4"/>
        <v/>
      </c>
    </row>
    <row r="9" spans="1:19" x14ac:dyDescent="0.25">
      <c r="A9" t="s">
        <v>9</v>
      </c>
      <c r="B9" s="14">
        <v>48.67</v>
      </c>
      <c r="C9" s="14">
        <v>48.67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f t="shared" si="0"/>
        <v>63.72025</v>
      </c>
      <c r="O9" s="26"/>
      <c r="P9" s="27">
        <f t="shared" si="1"/>
        <v>63.72025</v>
      </c>
      <c r="Q9" s="14" t="str">
        <f t="shared" si="2"/>
        <v/>
      </c>
      <c r="R9" s="14" t="str">
        <f t="shared" si="3"/>
        <v/>
      </c>
      <c r="S9" s="14" t="str">
        <f t="shared" si="4"/>
        <v/>
      </c>
    </row>
    <row r="10" spans="1:19" ht="15" customHeight="1" x14ac:dyDescent="0.25">
      <c r="A10" t="s">
        <v>10</v>
      </c>
      <c r="B10" s="14">
        <v>43.06</v>
      </c>
      <c r="C10" s="14">
        <v>43.06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>
        <f t="shared" si="0"/>
        <v>67.482812499999994</v>
      </c>
      <c r="O10" s="26"/>
      <c r="P10" s="27">
        <f t="shared" si="1"/>
        <v>67.482812499999994</v>
      </c>
      <c r="Q10" s="14" t="str">
        <f t="shared" si="2"/>
        <v/>
      </c>
      <c r="R10" s="14" t="str">
        <f t="shared" si="3"/>
        <v/>
      </c>
      <c r="S10" s="14" t="str">
        <f t="shared" si="4"/>
        <v/>
      </c>
    </row>
    <row r="11" spans="1:19" x14ac:dyDescent="0.25">
      <c r="A11" t="s">
        <v>11</v>
      </c>
      <c r="B11" s="14">
        <v>83.48</v>
      </c>
      <c r="C11" s="14">
        <v>83.48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>
        <f t="shared" si="0"/>
        <v>80.650312499999998</v>
      </c>
      <c r="O11" s="26"/>
      <c r="P11" s="27">
        <f t="shared" si="1"/>
        <v>80.650312499999998</v>
      </c>
      <c r="Q11" s="14" t="str">
        <f t="shared" si="2"/>
        <v/>
      </c>
      <c r="R11" s="14" t="str">
        <f t="shared" si="3"/>
        <v/>
      </c>
      <c r="S11" s="14" t="str">
        <f t="shared" si="4"/>
        <v/>
      </c>
    </row>
    <row r="12" spans="1:19" x14ac:dyDescent="0.25">
      <c r="A12" t="s">
        <v>12</v>
      </c>
      <c r="B12" s="14">
        <v>81.33</v>
      </c>
      <c r="C12" s="14">
        <v>81.33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>IFERROR(AVERAGE(B12:M28),"")</f>
        <v>117.58488636363633</v>
      </c>
      <c r="O12" s="26"/>
      <c r="P12" s="27">
        <f>IFERROR(AVERAGE(B12:D28),"")</f>
        <v>117.58488636363633</v>
      </c>
      <c r="Q12" s="14" t="str">
        <f>IFERROR(AVERAGE(E12:G28),"")</f>
        <v/>
      </c>
      <c r="R12" s="14" t="str">
        <f>IFERROR(AVERAGE(H12:J28),"")</f>
        <v/>
      </c>
      <c r="S12" s="14" t="str">
        <f>IFERROR(AVERAGE(K12:M28),"")</f>
        <v/>
      </c>
    </row>
    <row r="13" spans="1:19" x14ac:dyDescent="0.25">
      <c r="A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>
        <f>IFERROR(AVERAGE(B13:M29),"")</f>
        <v>121.210375</v>
      </c>
      <c r="O13" s="26"/>
      <c r="P13" s="27">
        <f>IFERROR(AVERAGE(B13:D29),"")</f>
        <v>121.210375</v>
      </c>
      <c r="Q13" s="14" t="str">
        <f>IFERROR(AVERAGE(E13:G29),"")</f>
        <v/>
      </c>
      <c r="R13" s="14" t="str">
        <f>IFERROR(AVERAGE(H13:J29),"")</f>
        <v/>
      </c>
      <c r="S13" s="14" t="str">
        <f>IFERROR(AVERAGE(K13:M29),"")</f>
        <v/>
      </c>
    </row>
    <row r="14" spans="1:19" ht="17.25" x14ac:dyDescent="0.4">
      <c r="A14" s="28" t="s">
        <v>60</v>
      </c>
      <c r="B14" s="29">
        <f>IFERROR(SUBTOTAL(101,tblTemplate111[January]),"")</f>
        <v>62.061250000000001</v>
      </c>
      <c r="C14" s="29">
        <f>IFERROR(SUBTOTAL(101,tblTemplate111[February]),"")</f>
        <v>62.061250000000001</v>
      </c>
      <c r="D14" s="29" t="str">
        <f>IFERROR(SUBTOTAL(101,tblTemplate111[March]),"")</f>
        <v/>
      </c>
      <c r="E14" s="29" t="str">
        <f>IFERROR(SUBTOTAL(101,tblTemplate111[April]),"")</f>
        <v/>
      </c>
      <c r="F14" s="29" t="str">
        <f>IFERROR(SUBTOTAL(101,tblTemplate111[May]),"")</f>
        <v/>
      </c>
      <c r="G14" s="29" t="str">
        <f>IFERROR(SUBTOTAL(101,tblTemplate111[June]),"")</f>
        <v/>
      </c>
      <c r="H14" s="29" t="str">
        <f>IFERROR(SUBTOTAL(101,tblTemplate111[July]),"")</f>
        <v/>
      </c>
      <c r="I14" s="29" t="str">
        <f>IFERROR(SUBTOTAL(101,tblTemplate111[August]),"")</f>
        <v/>
      </c>
      <c r="J14" s="29" t="str">
        <f>IFERROR(SUBTOTAL(101,tblTemplate111[September]),"")</f>
        <v/>
      </c>
      <c r="K14" s="29" t="str">
        <f>IFERROR(SUBTOTAL(101,tblTemplate111[October]),"")</f>
        <v/>
      </c>
      <c r="L14" s="29" t="str">
        <f>IFERROR(SUBTOTAL(101,tblTemplate111[November]),"")</f>
        <v/>
      </c>
      <c r="M14" s="29" t="str">
        <f>IFERROR(SUBTOTAL(101,tblTemplate111[December]),"")</f>
        <v/>
      </c>
      <c r="N14" s="29">
        <f>IFERROR(SUBTOTAL(101,tblTemplate111[Average of Col1]),"")</f>
        <v>77.574597988816734</v>
      </c>
      <c r="O14" s="30"/>
      <c r="P14" s="29">
        <f>IFERROR(SUBTOTAL(101,tblTemplate111[Q1]),"")</f>
        <v>77.574597988816734</v>
      </c>
      <c r="Q14" s="29" t="str">
        <f>IFERROR(SUBTOTAL(101,tblTemplate111[Q2]),"")</f>
        <v/>
      </c>
      <c r="R14" s="29" t="str">
        <f>IFERROR(SUBTOTAL(101,tblTemplate111[Q3]),"")</f>
        <v/>
      </c>
      <c r="S14" s="29" t="str">
        <f>IFERROR(SUBTOTAL(101,tblTemplate111[Q4]),"")</f>
        <v/>
      </c>
    </row>
    <row r="16" spans="1:19" ht="15" customHeight="1" x14ac:dyDescent="0.25"/>
    <row r="17" spans="1:19" ht="18.75" x14ac:dyDescent="0.3">
      <c r="A17" s="4" t="str">
        <f>'Master Data'!C1</f>
        <v>Col2</v>
      </c>
    </row>
    <row r="18" spans="1:19" ht="30" customHeight="1" x14ac:dyDescent="0.25">
      <c r="A18" s="10" t="s">
        <v>43</v>
      </c>
      <c r="B18" s="10" t="s">
        <v>44</v>
      </c>
      <c r="C18" s="10" t="s">
        <v>1</v>
      </c>
      <c r="D18" s="10" t="s">
        <v>45</v>
      </c>
      <c r="E18" s="10" t="s">
        <v>46</v>
      </c>
      <c r="F18" s="10" t="s">
        <v>47</v>
      </c>
      <c r="G18" s="10" t="s">
        <v>48</v>
      </c>
      <c r="H18" s="10" t="s">
        <v>49</v>
      </c>
      <c r="I18" s="10" t="s">
        <v>50</v>
      </c>
      <c r="J18" s="10" t="s">
        <v>51</v>
      </c>
      <c r="K18" s="10" t="s">
        <v>52</v>
      </c>
      <c r="L18" s="10" t="s">
        <v>53</v>
      </c>
      <c r="M18" s="10" t="s">
        <v>54</v>
      </c>
      <c r="N18" s="9" t="s">
        <v>64</v>
      </c>
      <c r="O18" s="11" t="s">
        <v>55</v>
      </c>
      <c r="P18" s="11" t="s">
        <v>56</v>
      </c>
      <c r="Q18" s="11" t="s">
        <v>57</v>
      </c>
      <c r="R18" s="11" t="s">
        <v>58</v>
      </c>
      <c r="S18" s="11" t="s">
        <v>59</v>
      </c>
    </row>
    <row r="19" spans="1:19" x14ac:dyDescent="0.25">
      <c r="A19" t="s">
        <v>13</v>
      </c>
      <c r="B19" s="14">
        <v>95.73</v>
      </c>
      <c r="C19" s="14">
        <v>95.73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>
        <f t="shared" ref="N19:N25" si="5">IFERROR(AVERAGE(B19:M27),"")</f>
        <v>127.7825</v>
      </c>
      <c r="O19" s="25"/>
      <c r="P19" s="14">
        <f t="shared" ref="P19:P25" si="6">IFERROR(AVERAGE(B19:D27),"")</f>
        <v>127.7825</v>
      </c>
      <c r="Q19" s="14" t="str">
        <f t="shared" ref="Q19:Q25" si="7">IFERROR(AVERAGE(E19:G27),"")</f>
        <v/>
      </c>
      <c r="R19" s="14" t="str">
        <f t="shared" ref="R19:R25" si="8">IFERROR(AVERAGE(H19:J27),"")</f>
        <v/>
      </c>
      <c r="S19" s="14" t="str">
        <f t="shared" ref="S19:S25" si="9">IFERROR(AVERAGE(K19:M27),"")</f>
        <v/>
      </c>
    </row>
    <row r="20" spans="1:19" x14ac:dyDescent="0.25">
      <c r="A20" t="s">
        <v>6</v>
      </c>
      <c r="B20" s="14">
        <v>115.33</v>
      </c>
      <c r="C20" s="14">
        <v>115.33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>
        <f t="shared" si="5"/>
        <v>131.7890625</v>
      </c>
      <c r="O20" s="26"/>
      <c r="P20" s="27">
        <f t="shared" si="6"/>
        <v>131.7890625</v>
      </c>
      <c r="Q20" s="14" t="str">
        <f t="shared" si="7"/>
        <v/>
      </c>
      <c r="R20" s="14" t="str">
        <f t="shared" si="8"/>
        <v/>
      </c>
      <c r="S20" s="14" t="str">
        <f t="shared" si="9"/>
        <v/>
      </c>
    </row>
    <row r="21" spans="1:19" x14ac:dyDescent="0.25">
      <c r="A21" t="s">
        <v>7</v>
      </c>
      <c r="B21" s="14">
        <v>156.62</v>
      </c>
      <c r="C21" s="14">
        <v>156.62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f t="shared" si="5"/>
        <v>134.14035714285714</v>
      </c>
      <c r="O21" s="26"/>
      <c r="P21" s="27">
        <f t="shared" si="6"/>
        <v>134.14035714285714</v>
      </c>
      <c r="Q21" s="14" t="str">
        <f t="shared" si="7"/>
        <v/>
      </c>
      <c r="R21" s="14" t="str">
        <f t="shared" si="8"/>
        <v/>
      </c>
      <c r="S21" s="14" t="str">
        <f t="shared" si="9"/>
        <v/>
      </c>
    </row>
    <row r="22" spans="1:19" ht="15" customHeight="1" x14ac:dyDescent="0.25">
      <c r="A22" t="s">
        <v>8</v>
      </c>
      <c r="B22" s="14">
        <v>113.36</v>
      </c>
      <c r="C22" s="14">
        <v>113.36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>
        <f t="shared" si="5"/>
        <v>130.39374999999998</v>
      </c>
      <c r="O22" s="26"/>
      <c r="P22" s="27">
        <f t="shared" si="6"/>
        <v>130.39374999999998</v>
      </c>
      <c r="Q22" s="14" t="str">
        <f t="shared" si="7"/>
        <v/>
      </c>
      <c r="R22" s="14" t="str">
        <f t="shared" si="8"/>
        <v/>
      </c>
      <c r="S22" s="14" t="str">
        <f t="shared" si="9"/>
        <v/>
      </c>
    </row>
    <row r="23" spans="1:19" x14ac:dyDescent="0.25">
      <c r="A23" t="s">
        <v>9</v>
      </c>
      <c r="B23" s="14">
        <v>101.19</v>
      </c>
      <c r="C23" s="14">
        <v>101.19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>
        <f t="shared" si="5"/>
        <v>133.8005</v>
      </c>
      <c r="O23" s="26"/>
      <c r="P23" s="27">
        <f t="shared" si="6"/>
        <v>133.8005</v>
      </c>
      <c r="Q23" s="14" t="str">
        <f t="shared" si="7"/>
        <v/>
      </c>
      <c r="R23" s="14" t="str">
        <f t="shared" si="8"/>
        <v/>
      </c>
      <c r="S23" s="14" t="str">
        <f t="shared" si="9"/>
        <v/>
      </c>
    </row>
    <row r="24" spans="1:19" x14ac:dyDescent="0.25">
      <c r="A24" t="s">
        <v>10</v>
      </c>
      <c r="B24" s="14">
        <v>97.46</v>
      </c>
      <c r="C24" s="14">
        <v>97.46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>
        <f t="shared" si="5"/>
        <v>141.953125</v>
      </c>
      <c r="O24" s="26"/>
      <c r="P24" s="27">
        <f t="shared" si="6"/>
        <v>141.953125</v>
      </c>
      <c r="Q24" s="14" t="str">
        <f t="shared" si="7"/>
        <v/>
      </c>
      <c r="R24" s="14" t="str">
        <f t="shared" si="8"/>
        <v/>
      </c>
      <c r="S24" s="14" t="str">
        <f t="shared" si="9"/>
        <v/>
      </c>
    </row>
    <row r="25" spans="1:19" x14ac:dyDescent="0.25">
      <c r="A25" t="s">
        <v>11</v>
      </c>
      <c r="B25" s="14">
        <v>202.51</v>
      </c>
      <c r="C25" s="14">
        <v>202.51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>
        <f t="shared" si="5"/>
        <v>117.78312499999998</v>
      </c>
      <c r="O25" s="26"/>
      <c r="P25" s="27">
        <f t="shared" si="6"/>
        <v>117.78312499999998</v>
      </c>
      <c r="Q25" s="14" t="str">
        <f t="shared" si="7"/>
        <v/>
      </c>
      <c r="R25" s="14" t="str">
        <f t="shared" si="8"/>
        <v/>
      </c>
      <c r="S25" s="14" t="str">
        <f t="shared" si="9"/>
        <v/>
      </c>
    </row>
    <row r="26" spans="1:19" x14ac:dyDescent="0.25">
      <c r="A26" t="s">
        <v>12</v>
      </c>
      <c r="B26" s="14">
        <v>140.06</v>
      </c>
      <c r="C26" s="14">
        <v>140.06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>
        <f>IFERROR(AVERAGE(B26:M42),"")</f>
        <v>24.996704545454552</v>
      </c>
      <c r="O26" s="26"/>
      <c r="P26" s="27">
        <f>IFERROR(AVERAGE(B26:D42),"")</f>
        <v>24.996704545454552</v>
      </c>
      <c r="Q26" s="14" t="str">
        <f>IFERROR(AVERAGE(E26:G42),"")</f>
        <v/>
      </c>
      <c r="R26" s="14" t="str">
        <f>IFERROR(AVERAGE(H26:J42),"")</f>
        <v/>
      </c>
      <c r="S26" s="14" t="str">
        <f>IFERROR(AVERAGE(K26:M42),"")</f>
        <v/>
      </c>
    </row>
    <row r="27" spans="1:19" x14ac:dyDescent="0.25">
      <c r="A27" t="s">
        <v>13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>
        <f>IFERROR(AVERAGE(B27:M43),"")</f>
        <v>13.490375000000004</v>
      </c>
      <c r="O27" s="26"/>
      <c r="P27" s="27">
        <f>IFERROR(AVERAGE(B27:D43),"")</f>
        <v>13.490375000000004</v>
      </c>
      <c r="Q27" s="14" t="str">
        <f>IFERROR(AVERAGE(E27:G43),"")</f>
        <v/>
      </c>
      <c r="R27" s="14" t="str">
        <f>IFERROR(AVERAGE(H27:J43),"")</f>
        <v/>
      </c>
      <c r="S27" s="14" t="str">
        <f>IFERROR(AVERAGE(K27:M43),"")</f>
        <v/>
      </c>
    </row>
    <row r="28" spans="1:19" ht="15" customHeight="1" x14ac:dyDescent="0.4">
      <c r="A28" s="28" t="s">
        <v>60</v>
      </c>
      <c r="B28" s="29">
        <f>IFERROR(SUBTOTAL(101,tblTemplate212[January]),"")</f>
        <v>127.7825</v>
      </c>
      <c r="C28" s="29">
        <f>IFERROR(SUBTOTAL(101,tblTemplate212[February]),"")</f>
        <v>127.7825</v>
      </c>
      <c r="D28" s="29" t="str">
        <f>IFERROR(SUBTOTAL(101,tblTemplate212[March]),"")</f>
        <v/>
      </c>
      <c r="E28" s="29" t="str">
        <f>IFERROR(SUBTOTAL(101,tblTemplate212[April]),"")</f>
        <v/>
      </c>
      <c r="F28" s="29" t="str">
        <f>IFERROR(SUBTOTAL(101,tblTemplate212[May]),"")</f>
        <v/>
      </c>
      <c r="G28" s="29" t="str">
        <f>IFERROR(SUBTOTAL(101,tblTemplate212[June]),"")</f>
        <v/>
      </c>
      <c r="H28" s="29" t="str">
        <f>IFERROR(SUBTOTAL(101,tblTemplate212[July]),"")</f>
        <v/>
      </c>
      <c r="I28" s="29" t="str">
        <f>IFERROR(SUBTOTAL(101,tblTemplate212[August]),"")</f>
        <v/>
      </c>
      <c r="J28" s="29" t="str">
        <f>IFERROR(SUBTOTAL(101,tblTemplate212[September]),"")</f>
        <v/>
      </c>
      <c r="K28" s="29" t="str">
        <f>IFERROR(SUBTOTAL(101,tblTemplate212[October]),"")</f>
        <v/>
      </c>
      <c r="L28" s="29" t="str">
        <f>IFERROR(SUBTOTAL(101,tblTemplate212[November]),"")</f>
        <v/>
      </c>
      <c r="M28" s="29" t="str">
        <f>IFERROR(SUBTOTAL(101,tblTemplate212[December]),"")</f>
        <v/>
      </c>
      <c r="N28" s="29">
        <f>IFERROR(SUBTOTAL(101,tblTemplate212[Average of Col2]),"")</f>
        <v>106.2366110209235</v>
      </c>
      <c r="O28" s="30"/>
      <c r="P28" s="29">
        <f>IFERROR(SUBTOTAL(101,tblTemplate212[Q1]),"")</f>
        <v>106.2366110209235</v>
      </c>
      <c r="Q28" s="29" t="str">
        <f>IFERROR(SUBTOTAL(101,tblTemplate212[Q2]),"")</f>
        <v/>
      </c>
      <c r="R28" s="29" t="str">
        <f>IFERROR(SUBTOTAL(101,tblTemplate212[Q3]),"")</f>
        <v/>
      </c>
      <c r="S28" s="29" t="str">
        <f>IFERROR(SUBTOTAL(101,tblTemplate212[Q4]),"")</f>
        <v/>
      </c>
    </row>
    <row r="31" spans="1:19" ht="18.75" x14ac:dyDescent="0.3">
      <c r="A31" s="4" t="str">
        <f>'Master Data'!D1</f>
        <v>Col3</v>
      </c>
    </row>
    <row r="32" spans="1:19" ht="30" customHeight="1" x14ac:dyDescent="0.25">
      <c r="A32" s="10" t="s">
        <v>43</v>
      </c>
      <c r="B32" s="10" t="s">
        <v>44</v>
      </c>
      <c r="C32" s="10" t="s">
        <v>1</v>
      </c>
      <c r="D32" s="10" t="s">
        <v>45</v>
      </c>
      <c r="E32" s="10" t="s">
        <v>46</v>
      </c>
      <c r="F32" s="10" t="s">
        <v>47</v>
      </c>
      <c r="G32" s="10" t="s">
        <v>48</v>
      </c>
      <c r="H32" s="10" t="s">
        <v>49</v>
      </c>
      <c r="I32" s="10" t="s">
        <v>50</v>
      </c>
      <c r="J32" s="10" t="s">
        <v>51</v>
      </c>
      <c r="K32" s="10" t="s">
        <v>52</v>
      </c>
      <c r="L32" s="10" t="s">
        <v>53</v>
      </c>
      <c r="M32" s="10" t="s">
        <v>54</v>
      </c>
      <c r="N32" s="9" t="s">
        <v>65</v>
      </c>
      <c r="O32" s="11" t="s">
        <v>55</v>
      </c>
      <c r="P32" s="11" t="s">
        <v>56</v>
      </c>
      <c r="Q32" s="11" t="s">
        <v>57</v>
      </c>
      <c r="R32" s="11" t="s">
        <v>58</v>
      </c>
      <c r="S32" s="11" t="s">
        <v>59</v>
      </c>
    </row>
    <row r="33" spans="1:19" x14ac:dyDescent="0.25">
      <c r="A33" t="s">
        <v>13</v>
      </c>
      <c r="B33" s="14">
        <v>0.78</v>
      </c>
      <c r="C33" s="14">
        <v>0.78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>
        <f t="shared" ref="N33:N39" si="10">IFERROR(AVERAGE(B33:M41),"")</f>
        <v>0.79125000000000001</v>
      </c>
      <c r="O33" s="25"/>
      <c r="P33" s="14">
        <f t="shared" ref="P33:P39" si="11">IFERROR(AVERAGE(B33:D41),"")</f>
        <v>0.79125000000000001</v>
      </c>
      <c r="Q33" s="14" t="str">
        <f t="shared" ref="Q33:Q39" si="12">IFERROR(AVERAGE(E33:G41),"")</f>
        <v/>
      </c>
      <c r="R33" s="14" t="str">
        <f t="shared" ref="R33:R39" si="13">IFERROR(AVERAGE(H33:J41),"")</f>
        <v/>
      </c>
      <c r="S33" s="14" t="str">
        <f t="shared" ref="S33:S39" si="14">IFERROR(AVERAGE(K33:M41),"")</f>
        <v/>
      </c>
    </row>
    <row r="34" spans="1:19" ht="15" customHeight="1" x14ac:dyDescent="0.25">
      <c r="A34" t="s">
        <v>6</v>
      </c>
      <c r="B34" s="14">
        <v>0.73</v>
      </c>
      <c r="C34" s="14">
        <v>0.73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>
        <f t="shared" si="10"/>
        <v>0.79265624999999995</v>
      </c>
      <c r="O34" s="26"/>
      <c r="P34" s="27">
        <f t="shared" si="11"/>
        <v>0.79265624999999995</v>
      </c>
      <c r="Q34" s="14" t="str">
        <f t="shared" si="12"/>
        <v/>
      </c>
      <c r="R34" s="14" t="str">
        <f t="shared" si="13"/>
        <v/>
      </c>
      <c r="S34" s="14" t="str">
        <f t="shared" si="14"/>
        <v/>
      </c>
    </row>
    <row r="35" spans="1:19" x14ac:dyDescent="0.25">
      <c r="A35" t="s">
        <v>7</v>
      </c>
      <c r="B35" s="14">
        <v>0.72</v>
      </c>
      <c r="C35" s="14">
        <v>0.72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>
        <f t="shared" si="10"/>
        <v>0.80160714285714274</v>
      </c>
      <c r="O35" s="26"/>
      <c r="P35" s="27">
        <f t="shared" si="11"/>
        <v>0.80160714285714274</v>
      </c>
      <c r="Q35" s="14" t="str">
        <f t="shared" si="12"/>
        <v/>
      </c>
      <c r="R35" s="14" t="str">
        <f t="shared" si="13"/>
        <v/>
      </c>
      <c r="S35" s="14" t="str">
        <f t="shared" si="14"/>
        <v/>
      </c>
    </row>
    <row r="36" spans="1:19" x14ac:dyDescent="0.25">
      <c r="A36" t="s">
        <v>8</v>
      </c>
      <c r="B36" s="14">
        <v>1.29</v>
      </c>
      <c r="C36" s="14">
        <v>1.29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>
        <f t="shared" si="10"/>
        <v>0.8152083333333332</v>
      </c>
      <c r="O36" s="26"/>
      <c r="P36" s="27">
        <f t="shared" si="11"/>
        <v>0.8152083333333332</v>
      </c>
      <c r="Q36" s="14" t="str">
        <f t="shared" si="12"/>
        <v/>
      </c>
      <c r="R36" s="14" t="str">
        <f t="shared" si="13"/>
        <v/>
      </c>
      <c r="S36" s="14" t="str">
        <f t="shared" si="14"/>
        <v/>
      </c>
    </row>
    <row r="37" spans="1:19" x14ac:dyDescent="0.25">
      <c r="A37" t="s">
        <v>9</v>
      </c>
      <c r="B37" s="14">
        <v>0.82</v>
      </c>
      <c r="C37" s="14">
        <v>0.82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>
        <f t="shared" si="10"/>
        <v>0.72024999999999995</v>
      </c>
      <c r="O37" s="26"/>
      <c r="P37" s="27">
        <f t="shared" si="11"/>
        <v>0.72024999999999995</v>
      </c>
      <c r="Q37" s="14" t="str">
        <f t="shared" si="12"/>
        <v/>
      </c>
      <c r="R37" s="14" t="str">
        <f t="shared" si="13"/>
        <v/>
      </c>
      <c r="S37" s="14" t="str">
        <f t="shared" si="14"/>
        <v/>
      </c>
    </row>
    <row r="38" spans="1:19" x14ac:dyDescent="0.25">
      <c r="A38" t="s">
        <v>10</v>
      </c>
      <c r="B38" s="14">
        <v>0.57999999999999996</v>
      </c>
      <c r="C38" s="14">
        <v>0.57999999999999996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>
        <f t="shared" si="10"/>
        <v>0.69531249999999989</v>
      </c>
      <c r="O38" s="26"/>
      <c r="P38" s="27">
        <f t="shared" si="11"/>
        <v>0.69531249999999989</v>
      </c>
      <c r="Q38" s="14" t="str">
        <f t="shared" si="12"/>
        <v/>
      </c>
      <c r="R38" s="14" t="str">
        <f t="shared" si="13"/>
        <v/>
      </c>
      <c r="S38" s="14" t="str">
        <f t="shared" si="14"/>
        <v/>
      </c>
    </row>
    <row r="39" spans="1:19" x14ac:dyDescent="0.25">
      <c r="A39" t="s">
        <v>11</v>
      </c>
      <c r="B39" s="14">
        <v>0.55000000000000004</v>
      </c>
      <c r="C39" s="14">
        <v>0.55000000000000004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>
        <f t="shared" si="10"/>
        <v>0.74583749999999993</v>
      </c>
      <c r="O39" s="26"/>
      <c r="P39" s="27">
        <f t="shared" si="11"/>
        <v>0.74583749999999993</v>
      </c>
      <c r="Q39" s="14" t="str">
        <f t="shared" si="12"/>
        <v/>
      </c>
      <c r="R39" s="14" t="str">
        <f t="shared" si="13"/>
        <v/>
      </c>
      <c r="S39" s="14" t="str">
        <f t="shared" si="14"/>
        <v/>
      </c>
    </row>
    <row r="40" spans="1:19" ht="15" customHeight="1" x14ac:dyDescent="0.25">
      <c r="A40" t="s">
        <v>12</v>
      </c>
      <c r="B40" s="14">
        <v>0.86</v>
      </c>
      <c r="C40" s="14">
        <v>0.86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>
        <f>IFERROR(AVERAGE(B40:M56),"")</f>
        <v>0.62500231481481461</v>
      </c>
      <c r="O40" s="26"/>
      <c r="P40" s="27">
        <f>IFERROR(AVERAGE(B40:D56),"")</f>
        <v>0.62500231481481461</v>
      </c>
      <c r="Q40" s="14" t="str">
        <f>IFERROR(AVERAGE(E40:G56),"")</f>
        <v/>
      </c>
      <c r="R40" s="14" t="str">
        <f>IFERROR(AVERAGE(H40:J56),"")</f>
        <v/>
      </c>
      <c r="S40" s="14" t="str">
        <f>IFERROR(AVERAGE(K40:M56),"")</f>
        <v/>
      </c>
    </row>
    <row r="41" spans="1:19" x14ac:dyDescent="0.25">
      <c r="A41" t="s">
        <v>13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>
        <f>IFERROR(AVERAGE(B41:M57),"")</f>
        <v>0.60363888888888872</v>
      </c>
      <c r="O41" s="26"/>
      <c r="P41" s="27">
        <f>IFERROR(AVERAGE(B41:D57),"")</f>
        <v>0.60363888888888872</v>
      </c>
      <c r="Q41" s="14" t="str">
        <f>IFERROR(AVERAGE(E41:G57),"")</f>
        <v/>
      </c>
      <c r="R41" s="14" t="str">
        <f>IFERROR(AVERAGE(H41:J57),"")</f>
        <v/>
      </c>
      <c r="S41" s="14" t="str">
        <f>IFERROR(AVERAGE(K41:M57),"")</f>
        <v/>
      </c>
    </row>
    <row r="42" spans="1:19" ht="17.25" x14ac:dyDescent="0.4">
      <c r="A42" s="28" t="s">
        <v>60</v>
      </c>
      <c r="B42" s="29">
        <f>IFERROR(SUBTOTAL(101,tblTemplate313[January]),"")</f>
        <v>0.79125000000000001</v>
      </c>
      <c r="C42" s="29">
        <f>IFERROR(SUBTOTAL(101,tblTemplate313[February]),"")</f>
        <v>0.79125000000000001</v>
      </c>
      <c r="D42" s="29" t="str">
        <f>IFERROR(SUBTOTAL(101,tblTemplate313[March]),"")</f>
        <v/>
      </c>
      <c r="E42" s="29" t="str">
        <f>IFERROR(SUBTOTAL(101,tblTemplate313[April]),"")</f>
        <v/>
      </c>
      <c r="F42" s="29" t="str">
        <f>IFERROR(SUBTOTAL(101,tblTemplate313[May]),"")</f>
        <v/>
      </c>
      <c r="G42" s="29" t="str">
        <f>IFERROR(SUBTOTAL(101,tblTemplate313[June]),"")</f>
        <v/>
      </c>
      <c r="H42" s="29" t="str">
        <f>IFERROR(SUBTOTAL(101,tblTemplate313[July]),"")</f>
        <v/>
      </c>
      <c r="I42" s="29" t="str">
        <f>IFERROR(SUBTOTAL(101,tblTemplate313[August]),"")</f>
        <v/>
      </c>
      <c r="J42" s="29" t="str">
        <f>IFERROR(SUBTOTAL(101,tblTemplate313[September]),"")</f>
        <v/>
      </c>
      <c r="K42" s="29" t="str">
        <f>IFERROR(SUBTOTAL(101,tblTemplate313[October]),"")</f>
        <v/>
      </c>
      <c r="L42" s="29" t="str">
        <f>IFERROR(SUBTOTAL(101,tblTemplate313[November]),"")</f>
        <v/>
      </c>
      <c r="M42" s="29" t="str">
        <f>IFERROR(SUBTOTAL(101,tblTemplate313[December]),"")</f>
        <v/>
      </c>
      <c r="N42" s="29">
        <f>IFERROR(SUBTOTAL(101,tblTemplate313[Average of Col3]),"")</f>
        <v>0.73230699221046425</v>
      </c>
      <c r="O42" s="30"/>
      <c r="P42" s="29">
        <f>IFERROR(SUBTOTAL(101,tblTemplate313[Q1]),"")</f>
        <v>0.73230699221046425</v>
      </c>
      <c r="Q42" s="29" t="str">
        <f>IFERROR(SUBTOTAL(101,tblTemplate313[Q2]),"")</f>
        <v/>
      </c>
      <c r="R42" s="29" t="str">
        <f>IFERROR(SUBTOTAL(101,tblTemplate313[Q3]),"")</f>
        <v/>
      </c>
      <c r="S42" s="29" t="str">
        <f>IFERROR(SUBTOTAL(101,tblTemplate313[Q4]),"")</f>
        <v/>
      </c>
    </row>
    <row r="45" spans="1:19" ht="18.75" x14ac:dyDescent="0.3">
      <c r="A45" s="4" t="str">
        <f>'Master Data'!E1</f>
        <v>Col4</v>
      </c>
    </row>
    <row r="46" spans="1:19" ht="30" customHeight="1" x14ac:dyDescent="0.25">
      <c r="A46" s="10" t="s">
        <v>43</v>
      </c>
      <c r="B46" s="10" t="s">
        <v>44</v>
      </c>
      <c r="C46" s="10" t="s">
        <v>1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  <c r="J46" s="10" t="s">
        <v>51</v>
      </c>
      <c r="K46" s="10" t="s">
        <v>52</v>
      </c>
      <c r="L46" s="10" t="s">
        <v>53</v>
      </c>
      <c r="M46" s="10" t="s">
        <v>54</v>
      </c>
      <c r="N46" s="9" t="s">
        <v>66</v>
      </c>
      <c r="O46" s="11" t="s">
        <v>55</v>
      </c>
      <c r="P46" s="11" t="s">
        <v>56</v>
      </c>
      <c r="Q46" s="11" t="s">
        <v>57</v>
      </c>
      <c r="R46" s="11" t="s">
        <v>58</v>
      </c>
      <c r="S46" s="11" t="s">
        <v>59</v>
      </c>
    </row>
    <row r="47" spans="1:19" x14ac:dyDescent="0.25">
      <c r="A47" t="s">
        <v>13</v>
      </c>
      <c r="B47" s="1">
        <v>0.78210000000000002</v>
      </c>
      <c r="C47" s="1">
        <v>0.78210000000000002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20">
        <f t="shared" ref="N47:N53" si="15">IFERROR(AVERAGE(B47:M55),"")</f>
        <v>0.58487777777777772</v>
      </c>
      <c r="O47" s="25"/>
      <c r="P47" s="22">
        <f t="shared" ref="P47:P53" si="16">IFERROR(AVERAGE(B47:D55),"")</f>
        <v>0.58487777777777772</v>
      </c>
      <c r="Q47" s="22" t="str">
        <f t="shared" ref="Q47:Q53" si="17">IFERROR(AVERAGE(E47:G55),"")</f>
        <v/>
      </c>
      <c r="R47" s="22" t="str">
        <f t="shared" ref="R47:R53" si="18">IFERROR(AVERAGE(H47:J55),"")</f>
        <v/>
      </c>
      <c r="S47" s="22" t="str">
        <f t="shared" ref="S47:S53" si="19">IFERROR(AVERAGE(K47:M55),"")</f>
        <v/>
      </c>
    </row>
    <row r="48" spans="1:19" x14ac:dyDescent="0.25">
      <c r="A48" t="s">
        <v>6</v>
      </c>
      <c r="B48" s="1">
        <v>0.64649999999999996</v>
      </c>
      <c r="C48" s="1">
        <v>0.64649999999999996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20">
        <f t="shared" si="15"/>
        <v>0.56296419753086413</v>
      </c>
      <c r="O48" s="26"/>
      <c r="P48" s="31">
        <f t="shared" si="16"/>
        <v>0.56296419753086413</v>
      </c>
      <c r="Q48" s="22" t="str">
        <f t="shared" si="17"/>
        <v/>
      </c>
      <c r="R48" s="22" t="str">
        <f t="shared" si="18"/>
        <v/>
      </c>
      <c r="S48" s="22" t="str">
        <f t="shared" si="19"/>
        <v/>
      </c>
    </row>
    <row r="49" spans="1:19" x14ac:dyDescent="0.25">
      <c r="A49" t="s">
        <v>7</v>
      </c>
      <c r="B49" s="1">
        <v>0.79879999999999995</v>
      </c>
      <c r="C49" s="1">
        <v>0.79879999999999995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20">
        <f t="shared" si="15"/>
        <v>0.55252222222222214</v>
      </c>
      <c r="O49" s="26"/>
      <c r="P49" s="31">
        <f t="shared" si="16"/>
        <v>0.55252222222222214</v>
      </c>
      <c r="Q49" s="22" t="str">
        <f t="shared" si="17"/>
        <v/>
      </c>
      <c r="R49" s="22" t="str">
        <f t="shared" si="18"/>
        <v/>
      </c>
      <c r="S49" s="22" t="str">
        <f t="shared" si="19"/>
        <v/>
      </c>
    </row>
    <row r="50" spans="1:19" x14ac:dyDescent="0.25">
      <c r="A50" t="s">
        <v>8</v>
      </c>
      <c r="B50" s="1">
        <v>0.25480000000000003</v>
      </c>
      <c r="C50" s="1">
        <v>0.25480000000000003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20">
        <f t="shared" si="15"/>
        <v>0.51733968253968254</v>
      </c>
      <c r="O50" s="26"/>
      <c r="P50" s="31">
        <f t="shared" si="16"/>
        <v>0.51733968253968254</v>
      </c>
      <c r="Q50" s="22" t="str">
        <f t="shared" si="17"/>
        <v/>
      </c>
      <c r="R50" s="22" t="str">
        <f t="shared" si="18"/>
        <v/>
      </c>
      <c r="S50" s="22" t="str">
        <f t="shared" si="19"/>
        <v/>
      </c>
    </row>
    <row r="51" spans="1:19" x14ac:dyDescent="0.25">
      <c r="A51" t="s">
        <v>9</v>
      </c>
      <c r="B51" s="1">
        <v>0.58779999999999999</v>
      </c>
      <c r="C51" s="1">
        <v>0.58779999999999999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20">
        <f t="shared" si="15"/>
        <v>0.56109629629629632</v>
      </c>
      <c r="O51" s="26"/>
      <c r="P51" s="31">
        <f t="shared" si="16"/>
        <v>0.56109629629629632</v>
      </c>
      <c r="Q51" s="22" t="str">
        <f t="shared" si="17"/>
        <v/>
      </c>
      <c r="R51" s="22" t="str">
        <f t="shared" si="18"/>
        <v/>
      </c>
      <c r="S51" s="22" t="str">
        <f t="shared" si="19"/>
        <v/>
      </c>
    </row>
    <row r="52" spans="1:19" ht="15" customHeight="1" x14ac:dyDescent="0.25">
      <c r="A52" t="s">
        <v>10</v>
      </c>
      <c r="B52" s="1">
        <v>0.76749999999999996</v>
      </c>
      <c r="C52" s="1">
        <v>0.76749999999999996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20">
        <f t="shared" si="15"/>
        <v>0.55575555555555556</v>
      </c>
      <c r="O52" s="26"/>
      <c r="P52" s="31">
        <f t="shared" si="16"/>
        <v>0.55575555555555556</v>
      </c>
      <c r="Q52" s="22" t="str">
        <f t="shared" si="17"/>
        <v/>
      </c>
      <c r="R52" s="22" t="str">
        <f t="shared" si="18"/>
        <v/>
      </c>
      <c r="S52" s="22" t="str">
        <f t="shared" si="19"/>
        <v/>
      </c>
    </row>
    <row r="53" spans="1:19" x14ac:dyDescent="0.25">
      <c r="A53" t="s">
        <v>11</v>
      </c>
      <c r="B53" s="1">
        <v>0.75</v>
      </c>
      <c r="C53" s="1">
        <v>0.75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20">
        <f t="shared" si="15"/>
        <v>0.57679555555555562</v>
      </c>
      <c r="O53" s="26"/>
      <c r="P53" s="31">
        <f t="shared" si="16"/>
        <v>0.57679555555555562</v>
      </c>
      <c r="Q53" s="22" t="str">
        <f t="shared" si="17"/>
        <v/>
      </c>
      <c r="R53" s="22" t="str">
        <f t="shared" si="18"/>
        <v/>
      </c>
      <c r="S53" s="22" t="str">
        <f t="shared" si="19"/>
        <v/>
      </c>
    </row>
    <row r="54" spans="1:19" x14ac:dyDescent="0.25">
      <c r="A54" t="s">
        <v>12</v>
      </c>
      <c r="B54" s="1">
        <v>0.6764</v>
      </c>
      <c r="C54" s="1">
        <v>0.6764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20">
        <f>IFERROR(AVERAGE(B54:M70),"")</f>
        <v>0.71416273148148146</v>
      </c>
      <c r="O54" s="26"/>
      <c r="P54" s="31">
        <f>IFERROR(AVERAGE(B54:D70),"")</f>
        <v>0.71416273148148146</v>
      </c>
      <c r="Q54" s="22" t="str">
        <f>IFERROR(AVERAGE(E54:G70),"")</f>
        <v/>
      </c>
      <c r="R54" s="22" t="str">
        <f>IFERROR(AVERAGE(H54:J70),"")</f>
        <v/>
      </c>
      <c r="S54" s="22" t="str">
        <f>IFERROR(AVERAGE(K54:M70),"")</f>
        <v/>
      </c>
    </row>
    <row r="55" spans="1:19" x14ac:dyDescent="0.25">
      <c r="A55" t="s">
        <v>13</v>
      </c>
      <c r="B55" s="1">
        <v>0</v>
      </c>
      <c r="C55" s="1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20">
        <f>IFERROR(AVERAGE(B55:M71),"")</f>
        <v>0.71759570707070697</v>
      </c>
      <c r="O55" s="26"/>
      <c r="P55" s="31">
        <f>IFERROR(AVERAGE(B55:D71),"")</f>
        <v>0.71759570707070697</v>
      </c>
      <c r="Q55" s="22" t="str">
        <f>IFERROR(AVERAGE(E55:G71),"")</f>
        <v/>
      </c>
      <c r="R55" s="22" t="str">
        <f>IFERROR(AVERAGE(H55:J71),"")</f>
        <v/>
      </c>
      <c r="S55" s="22" t="str">
        <f>IFERROR(AVERAGE(K55:M71),"")</f>
        <v/>
      </c>
    </row>
    <row r="56" spans="1:19" ht="17.25" x14ac:dyDescent="0.4">
      <c r="A56" s="28" t="s">
        <v>60</v>
      </c>
      <c r="B56" s="32">
        <f>IFERROR(SUBTOTAL(101,tblTemplate414[January]),"")</f>
        <v>0.58487777777777783</v>
      </c>
      <c r="C56" s="32">
        <f>IFERROR(SUBTOTAL(101,tblTemplate414[February]),"")</f>
        <v>0.58487777777777783</v>
      </c>
      <c r="D56" s="32" t="str">
        <f>IFERROR(SUBTOTAL(101,tblTemplate414[March]),"")</f>
        <v/>
      </c>
      <c r="E56" s="32" t="str">
        <f>IFERROR(SUBTOTAL(101,tblTemplate414[April]),"")</f>
        <v/>
      </c>
      <c r="F56" s="32" t="str">
        <f>IFERROR(SUBTOTAL(101,tblTemplate414[May]),"")</f>
        <v/>
      </c>
      <c r="G56" s="32" t="str">
        <f>IFERROR(SUBTOTAL(101,tblTemplate414[June]),"")</f>
        <v/>
      </c>
      <c r="H56" s="32" t="str">
        <f>IFERROR(SUBTOTAL(101,tblTemplate414[July]),"")</f>
        <v/>
      </c>
      <c r="I56" s="32" t="str">
        <f>IFERROR(SUBTOTAL(101,tblTemplate414[August]),"")</f>
        <v/>
      </c>
      <c r="J56" s="32" t="str">
        <f>IFERROR(SUBTOTAL(101,tblTemplate414[September]),"")</f>
        <v/>
      </c>
      <c r="K56" s="32" t="str">
        <f>IFERROR(SUBTOTAL(101,tblTemplate414[October]),"")</f>
        <v/>
      </c>
      <c r="L56" s="32" t="str">
        <f>IFERROR(SUBTOTAL(101,tblTemplate414[November]),"")</f>
        <v/>
      </c>
      <c r="M56" s="32" t="str">
        <f>IFERROR(SUBTOTAL(101,tblTemplate414[December]),"")</f>
        <v/>
      </c>
      <c r="N56" s="33">
        <f>IFERROR(SUBTOTAL(101,tblTemplate414[Average of Col4]),"")</f>
        <v>0.59367885844779356</v>
      </c>
      <c r="O56" s="30"/>
      <c r="P56" s="33">
        <f>IFERROR(SUBTOTAL(101,tblTemplate414[Q1]),"")</f>
        <v>0.59367885844779356</v>
      </c>
      <c r="Q56" s="33" t="str">
        <f>IFERROR(SUBTOTAL(101,tblTemplate414[Q2]),"")</f>
        <v/>
      </c>
      <c r="R56" s="33" t="str">
        <f>IFERROR(SUBTOTAL(101,tblTemplate414[Q3]),"")</f>
        <v/>
      </c>
      <c r="S56" s="33" t="str">
        <f>IFERROR(SUBTOTAL(101,tblTemplate414[Q4]),"")</f>
        <v/>
      </c>
    </row>
    <row r="59" spans="1:19" ht="18.75" x14ac:dyDescent="0.3">
      <c r="A59" s="4" t="str">
        <f>'Master Data'!F1</f>
        <v>Col5</v>
      </c>
    </row>
    <row r="60" spans="1:19" ht="30" customHeight="1" x14ac:dyDescent="0.25">
      <c r="A60" s="10" t="s">
        <v>43</v>
      </c>
      <c r="B60" s="10" t="s">
        <v>44</v>
      </c>
      <c r="C60" s="10" t="s">
        <v>1</v>
      </c>
      <c r="D60" s="10" t="s">
        <v>45</v>
      </c>
      <c r="E60" s="10" t="s">
        <v>46</v>
      </c>
      <c r="F60" s="10" t="s">
        <v>47</v>
      </c>
      <c r="G60" s="10" t="s">
        <v>48</v>
      </c>
      <c r="H60" s="10" t="s">
        <v>49</v>
      </c>
      <c r="I60" s="10" t="s">
        <v>50</v>
      </c>
      <c r="J60" s="10" t="s">
        <v>51</v>
      </c>
      <c r="K60" s="10" t="s">
        <v>52</v>
      </c>
      <c r="L60" s="10" t="s">
        <v>53</v>
      </c>
      <c r="M60" s="10" t="s">
        <v>54</v>
      </c>
      <c r="N60" s="9" t="s">
        <v>67</v>
      </c>
      <c r="O60" s="11" t="s">
        <v>55</v>
      </c>
      <c r="P60" s="11" t="s">
        <v>56</v>
      </c>
      <c r="Q60" s="11" t="s">
        <v>57</v>
      </c>
      <c r="R60" s="11" t="s">
        <v>58</v>
      </c>
      <c r="S60" s="11" t="s">
        <v>59</v>
      </c>
    </row>
    <row r="61" spans="1:19" x14ac:dyDescent="0.25">
      <c r="A61" t="s">
        <v>13</v>
      </c>
      <c r="B61" s="1">
        <v>0.87270000000000003</v>
      </c>
      <c r="C61" s="1">
        <v>0.87270000000000003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20">
        <f t="shared" ref="N61:N67" si="20">IFERROR(AVERAGE(B61:M69),"")</f>
        <v>0.81207499999999988</v>
      </c>
      <c r="O61" s="25"/>
      <c r="P61" s="22">
        <f t="shared" ref="P61:P67" si="21">IFERROR(AVERAGE(B61:D69),"")</f>
        <v>0.81207499999999988</v>
      </c>
      <c r="Q61" s="22" t="str">
        <f t="shared" ref="Q61:Q67" si="22">IFERROR(AVERAGE(E61:G69),"")</f>
        <v/>
      </c>
      <c r="R61" s="22" t="str">
        <f t="shared" ref="R61:R67" si="23">IFERROR(AVERAGE(H61:J69),"")</f>
        <v/>
      </c>
      <c r="S61" s="22" t="str">
        <f t="shared" ref="S61:S67" si="24">IFERROR(AVERAGE(K61:M69),"")</f>
        <v/>
      </c>
    </row>
    <row r="62" spans="1:19" x14ac:dyDescent="0.25">
      <c r="A62" t="s">
        <v>6</v>
      </c>
      <c r="B62" s="1">
        <v>0.88239999999999996</v>
      </c>
      <c r="C62" s="1">
        <v>0.88239999999999996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20">
        <f t="shared" si="20"/>
        <v>0.80449687500000011</v>
      </c>
      <c r="O62" s="26"/>
      <c r="P62" s="31">
        <f t="shared" si="21"/>
        <v>0.80449687500000011</v>
      </c>
      <c r="Q62" s="22" t="str">
        <f t="shared" si="22"/>
        <v/>
      </c>
      <c r="R62" s="22" t="str">
        <f t="shared" si="23"/>
        <v/>
      </c>
      <c r="S62" s="22" t="str">
        <f t="shared" si="24"/>
        <v/>
      </c>
    </row>
    <row r="63" spans="1:19" x14ac:dyDescent="0.25">
      <c r="A63" t="s">
        <v>7</v>
      </c>
      <c r="B63" s="1">
        <v>0.85370000000000001</v>
      </c>
      <c r="C63" s="1">
        <v>0.85370000000000001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20">
        <f t="shared" si="20"/>
        <v>0.79336785714285718</v>
      </c>
      <c r="O63" s="26"/>
      <c r="P63" s="31">
        <f t="shared" si="21"/>
        <v>0.79336785714285718</v>
      </c>
      <c r="Q63" s="22" t="str">
        <f t="shared" si="22"/>
        <v/>
      </c>
      <c r="R63" s="22" t="str">
        <f t="shared" si="23"/>
        <v/>
      </c>
      <c r="S63" s="22" t="str">
        <f t="shared" si="24"/>
        <v/>
      </c>
    </row>
    <row r="64" spans="1:19" x14ac:dyDescent="0.25">
      <c r="A64" t="s">
        <v>8</v>
      </c>
      <c r="B64" s="1">
        <v>0.67649999999999999</v>
      </c>
      <c r="C64" s="1">
        <v>0.67649999999999999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20">
        <f t="shared" si="20"/>
        <v>0.78331249999999997</v>
      </c>
      <c r="O64" s="26"/>
      <c r="P64" s="31">
        <f t="shared" si="21"/>
        <v>0.78331249999999997</v>
      </c>
      <c r="Q64" s="22" t="str">
        <f t="shared" si="22"/>
        <v/>
      </c>
      <c r="R64" s="22" t="str">
        <f t="shared" si="23"/>
        <v/>
      </c>
      <c r="S64" s="22" t="str">
        <f t="shared" si="24"/>
        <v/>
      </c>
    </row>
    <row r="65" spans="1:19" x14ac:dyDescent="0.25">
      <c r="A65" t="s">
        <v>9</v>
      </c>
      <c r="B65" s="1">
        <v>0.77500000000000002</v>
      </c>
      <c r="C65" s="1">
        <v>0.77500000000000002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20">
        <f t="shared" si="20"/>
        <v>0.80467499999999992</v>
      </c>
      <c r="O65" s="26"/>
      <c r="P65" s="31">
        <f t="shared" si="21"/>
        <v>0.80467499999999992</v>
      </c>
      <c r="Q65" s="22" t="str">
        <f t="shared" si="22"/>
        <v/>
      </c>
      <c r="R65" s="22" t="str">
        <f t="shared" si="23"/>
        <v/>
      </c>
      <c r="S65" s="22" t="str">
        <f t="shared" si="24"/>
        <v/>
      </c>
    </row>
    <row r="66" spans="1:19" x14ac:dyDescent="0.25">
      <c r="A66" t="s">
        <v>10</v>
      </c>
      <c r="B66" s="1">
        <v>0.7419</v>
      </c>
      <c r="C66" s="1">
        <v>0.7419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20">
        <f t="shared" si="20"/>
        <v>0.81209375000000006</v>
      </c>
      <c r="O66" s="26"/>
      <c r="P66" s="31">
        <f t="shared" si="21"/>
        <v>0.81209375000000006</v>
      </c>
      <c r="Q66" s="22" t="str">
        <f t="shared" si="22"/>
        <v/>
      </c>
      <c r="R66" s="22" t="str">
        <f t="shared" si="23"/>
        <v/>
      </c>
      <c r="S66" s="22" t="str">
        <f t="shared" si="24"/>
        <v/>
      </c>
    </row>
    <row r="67" spans="1:19" x14ac:dyDescent="0.25">
      <c r="A67" t="s">
        <v>11</v>
      </c>
      <c r="B67" s="1">
        <v>0.94440000000000002</v>
      </c>
      <c r="C67" s="1">
        <v>0.94440000000000002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20">
        <f t="shared" si="20"/>
        <v>0.80404374999999995</v>
      </c>
      <c r="O67" s="26"/>
      <c r="P67" s="31">
        <f t="shared" si="21"/>
        <v>0.80404374999999995</v>
      </c>
      <c r="Q67" s="22" t="str">
        <f t="shared" si="22"/>
        <v/>
      </c>
      <c r="R67" s="22" t="str">
        <f t="shared" si="23"/>
        <v/>
      </c>
      <c r="S67" s="22" t="str">
        <f t="shared" si="24"/>
        <v/>
      </c>
    </row>
    <row r="68" spans="1:19" x14ac:dyDescent="0.25">
      <c r="A68" t="s">
        <v>12</v>
      </c>
      <c r="B68" s="1">
        <v>0.75</v>
      </c>
      <c r="C68" s="1">
        <v>0.75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20">
        <f>IFERROR(AVERAGE(B68:M84),"")</f>
        <v>0.7593045454545454</v>
      </c>
      <c r="O68" s="26"/>
      <c r="P68" s="31">
        <f>IFERROR(AVERAGE(B68:D84),"")</f>
        <v>0.7593045454545454</v>
      </c>
      <c r="Q68" s="22" t="str">
        <f>IFERROR(AVERAGE(E68:G84),"")</f>
        <v/>
      </c>
      <c r="R68" s="22" t="str">
        <f>IFERROR(AVERAGE(H68:J84),"")</f>
        <v/>
      </c>
      <c r="S68" s="22" t="str">
        <f>IFERROR(AVERAGE(K68:M84),"")</f>
        <v/>
      </c>
    </row>
    <row r="69" spans="1:19" x14ac:dyDescent="0.25">
      <c r="A69" t="s">
        <v>13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0">
        <f>IFERROR(AVERAGE(B69:M85),"")</f>
        <v>0.76023499999999999</v>
      </c>
      <c r="O69" s="26"/>
      <c r="P69" s="31">
        <f>IFERROR(AVERAGE(B69:D85),"")</f>
        <v>0.76023499999999999</v>
      </c>
      <c r="Q69" s="22" t="str">
        <f>IFERROR(AVERAGE(E69:G85),"")</f>
        <v/>
      </c>
      <c r="R69" s="22" t="str">
        <f>IFERROR(AVERAGE(H69:J85),"")</f>
        <v/>
      </c>
      <c r="S69" s="22" t="str">
        <f>IFERROR(AVERAGE(K69:M85),"")</f>
        <v/>
      </c>
    </row>
    <row r="70" spans="1:19" ht="17.25" x14ac:dyDescent="0.4">
      <c r="A70" s="28" t="s">
        <v>60</v>
      </c>
      <c r="B70" s="32">
        <f>IFERROR(SUBTOTAL(101,tblTemplate515[January]),"")</f>
        <v>0.81207499999999999</v>
      </c>
      <c r="C70" s="32">
        <f>IFERROR(SUBTOTAL(101,tblTemplate515[February]),"")</f>
        <v>0.81207499999999999</v>
      </c>
      <c r="D70" s="32" t="str">
        <f>IFERROR(SUBTOTAL(101,tblTemplate515[March]),"")</f>
        <v/>
      </c>
      <c r="E70" s="32" t="str">
        <f>IFERROR(SUBTOTAL(101,tblTemplate515[April]),"")</f>
        <v/>
      </c>
      <c r="F70" s="32" t="str">
        <f>IFERROR(SUBTOTAL(101,tblTemplate515[May]),"")</f>
        <v/>
      </c>
      <c r="G70" s="32" t="str">
        <f>IFERROR(SUBTOTAL(101,tblTemplate515[June]),"")</f>
        <v/>
      </c>
      <c r="H70" s="32" t="str">
        <f>IFERROR(SUBTOTAL(101,tblTemplate515[July]),"")</f>
        <v/>
      </c>
      <c r="I70" s="32" t="str">
        <f>IFERROR(SUBTOTAL(101,tblTemplate515[August]),"")</f>
        <v/>
      </c>
      <c r="J70" s="32" t="str">
        <f>IFERROR(SUBTOTAL(101,tblTemplate515[September]),"")</f>
        <v/>
      </c>
      <c r="K70" s="32" t="str">
        <f>IFERROR(SUBTOTAL(101,tblTemplate515[October]),"")</f>
        <v/>
      </c>
      <c r="L70" s="32" t="str">
        <f>IFERROR(SUBTOTAL(101,tblTemplate515[November]),"")</f>
        <v/>
      </c>
      <c r="M70" s="32" t="str">
        <f>IFERROR(SUBTOTAL(101,tblTemplate515[December]),"")</f>
        <v/>
      </c>
      <c r="N70" s="33">
        <f>IFERROR(SUBTOTAL(101,tblTemplate515[Average of Col5]),"")</f>
        <v>0.79262269751082259</v>
      </c>
      <c r="O70" s="30"/>
      <c r="P70" s="33">
        <f>IFERROR(SUBTOTAL(101,tblTemplate515[Q1]),"")</f>
        <v>0.79262269751082259</v>
      </c>
      <c r="Q70" s="33" t="str">
        <f>IFERROR(SUBTOTAL(101,tblTemplate515[Q2]),"")</f>
        <v/>
      </c>
      <c r="R70" s="33" t="str">
        <f>IFERROR(SUBTOTAL(101,tblTemplate515[Q3]),"")</f>
        <v/>
      </c>
      <c r="S70" s="33" t="str">
        <f>IFERROR(SUBTOTAL(101,tblTemplate515[Q4]),"")</f>
        <v/>
      </c>
    </row>
    <row r="73" spans="1:19" ht="18.75" x14ac:dyDescent="0.3">
      <c r="A73" s="4" t="str">
        <f>'Master Data'!G1</f>
        <v>Col6</v>
      </c>
    </row>
    <row r="74" spans="1:19" ht="30" customHeight="1" x14ac:dyDescent="0.25">
      <c r="A74" s="10" t="s">
        <v>43</v>
      </c>
      <c r="B74" s="10" t="s">
        <v>44</v>
      </c>
      <c r="C74" s="10" t="s">
        <v>1</v>
      </c>
      <c r="D74" s="10" t="s">
        <v>45</v>
      </c>
      <c r="E74" s="10" t="s">
        <v>46</v>
      </c>
      <c r="F74" s="10" t="s">
        <v>47</v>
      </c>
      <c r="G74" s="10" t="s">
        <v>48</v>
      </c>
      <c r="H74" s="10" t="s">
        <v>49</v>
      </c>
      <c r="I74" s="10" t="s">
        <v>50</v>
      </c>
      <c r="J74" s="10" t="s">
        <v>51</v>
      </c>
      <c r="K74" s="10" t="s">
        <v>52</v>
      </c>
      <c r="L74" s="10" t="s">
        <v>53</v>
      </c>
      <c r="M74" s="10" t="s">
        <v>54</v>
      </c>
      <c r="N74" s="9" t="s">
        <v>68</v>
      </c>
      <c r="O74" s="11" t="s">
        <v>55</v>
      </c>
      <c r="P74" s="11" t="s">
        <v>56</v>
      </c>
      <c r="Q74" s="11" t="s">
        <v>57</v>
      </c>
      <c r="R74" s="11" t="s">
        <v>58</v>
      </c>
      <c r="S74" s="11" t="s">
        <v>59</v>
      </c>
    </row>
    <row r="75" spans="1:19" x14ac:dyDescent="0.25">
      <c r="A75" t="s">
        <v>13</v>
      </c>
      <c r="B75" s="1">
        <v>0.7097</v>
      </c>
      <c r="C75" s="1">
        <v>0.7097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20">
        <f t="shared" ref="N75:N81" si="25">IFERROR(AVERAGE(B75:M83),"")</f>
        <v>0.75447500000000001</v>
      </c>
      <c r="O75" s="25"/>
      <c r="P75" s="22">
        <f t="shared" ref="P75:P81" si="26">IFERROR(AVERAGE(B75:D83),"")</f>
        <v>0.75447500000000001</v>
      </c>
      <c r="Q75" s="22" t="str">
        <f t="shared" ref="Q75:Q81" si="27">IFERROR(AVERAGE(E75:G83),"")</f>
        <v/>
      </c>
      <c r="R75" s="22" t="str">
        <f t="shared" ref="R75:R81" si="28">IFERROR(AVERAGE(H75:J83),"")</f>
        <v/>
      </c>
      <c r="S75" s="22" t="str">
        <f t="shared" ref="S75:S81" si="29">IFERROR(AVERAGE(K75:M83),"")</f>
        <v/>
      </c>
    </row>
    <row r="76" spans="1:19" x14ac:dyDescent="0.25">
      <c r="A76" t="s">
        <v>6</v>
      </c>
      <c r="B76" s="1">
        <v>0.64290000000000003</v>
      </c>
      <c r="C76" s="1">
        <v>0.64290000000000003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20">
        <f t="shared" si="25"/>
        <v>0.76007187499999995</v>
      </c>
      <c r="O76" s="26"/>
      <c r="P76" s="31">
        <f t="shared" si="26"/>
        <v>0.76007187499999995</v>
      </c>
      <c r="Q76" s="22" t="str">
        <f t="shared" si="27"/>
        <v/>
      </c>
      <c r="R76" s="22" t="str">
        <f t="shared" si="28"/>
        <v/>
      </c>
      <c r="S76" s="22" t="str">
        <f t="shared" si="29"/>
        <v/>
      </c>
    </row>
    <row r="77" spans="1:19" x14ac:dyDescent="0.25">
      <c r="A77" t="s">
        <v>7</v>
      </c>
      <c r="B77" s="1">
        <v>0.63639999999999997</v>
      </c>
      <c r="C77" s="1">
        <v>0.63639999999999997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20">
        <f t="shared" si="25"/>
        <v>0.77681071428571435</v>
      </c>
      <c r="O77" s="26"/>
      <c r="P77" s="31">
        <f t="shared" si="26"/>
        <v>0.77681071428571435</v>
      </c>
      <c r="Q77" s="22" t="str">
        <f t="shared" si="27"/>
        <v/>
      </c>
      <c r="R77" s="22" t="str">
        <f t="shared" si="28"/>
        <v/>
      </c>
      <c r="S77" s="22" t="str">
        <f t="shared" si="29"/>
        <v/>
      </c>
    </row>
    <row r="78" spans="1:19" x14ac:dyDescent="0.25">
      <c r="A78" t="s">
        <v>8</v>
      </c>
      <c r="B78" s="1">
        <v>0.85709999999999997</v>
      </c>
      <c r="C78" s="1">
        <v>0.85709999999999997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20">
        <f t="shared" si="25"/>
        <v>0.80021249999999988</v>
      </c>
      <c r="O78" s="26"/>
      <c r="P78" s="31">
        <f t="shared" si="26"/>
        <v>0.80021249999999988</v>
      </c>
      <c r="Q78" s="22" t="str">
        <f t="shared" si="27"/>
        <v/>
      </c>
      <c r="R78" s="22" t="str">
        <f t="shared" si="28"/>
        <v/>
      </c>
      <c r="S78" s="22" t="str">
        <f t="shared" si="29"/>
        <v/>
      </c>
    </row>
    <row r="79" spans="1:19" x14ac:dyDescent="0.25">
      <c r="A79" t="s">
        <v>9</v>
      </c>
      <c r="B79" s="1">
        <v>0.6875</v>
      </c>
      <c r="C79" s="1">
        <v>0.6875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20">
        <f t="shared" si="25"/>
        <v>0.78883499999999995</v>
      </c>
      <c r="O79" s="26"/>
      <c r="P79" s="31">
        <f t="shared" si="26"/>
        <v>0.78883499999999995</v>
      </c>
      <c r="Q79" s="22" t="str">
        <f t="shared" si="27"/>
        <v/>
      </c>
      <c r="R79" s="22" t="str">
        <f t="shared" si="28"/>
        <v/>
      </c>
      <c r="S79" s="22" t="str">
        <f t="shared" si="29"/>
        <v/>
      </c>
    </row>
    <row r="80" spans="1:19" x14ac:dyDescent="0.25">
      <c r="A80" t="s">
        <v>10</v>
      </c>
      <c r="B80" s="1">
        <v>0.80649999999999999</v>
      </c>
      <c r="C80" s="1">
        <v>0.80649999999999999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20">
        <f t="shared" si="25"/>
        <v>0.81416875</v>
      </c>
      <c r="O80" s="26"/>
      <c r="P80" s="31">
        <f t="shared" si="26"/>
        <v>0.81416875</v>
      </c>
      <c r="Q80" s="22" t="str">
        <f t="shared" si="27"/>
        <v/>
      </c>
      <c r="R80" s="22" t="str">
        <f t="shared" si="28"/>
        <v/>
      </c>
      <c r="S80" s="22" t="str">
        <f t="shared" si="29"/>
        <v/>
      </c>
    </row>
    <row r="81" spans="1:19" x14ac:dyDescent="0.25">
      <c r="A81" t="s">
        <v>11</v>
      </c>
      <c r="B81" s="1">
        <v>0.76470000000000005</v>
      </c>
      <c r="C81" s="1">
        <v>0.76470000000000005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20">
        <f t="shared" si="25"/>
        <v>39.252543750000001</v>
      </c>
      <c r="O81" s="26"/>
      <c r="P81" s="31">
        <f t="shared" si="26"/>
        <v>39.252543750000001</v>
      </c>
      <c r="Q81" s="22" t="str">
        <f t="shared" si="27"/>
        <v/>
      </c>
      <c r="R81" s="22" t="str">
        <f t="shared" si="28"/>
        <v/>
      </c>
      <c r="S81" s="22" t="str">
        <f t="shared" si="29"/>
        <v/>
      </c>
    </row>
    <row r="82" spans="1:19" x14ac:dyDescent="0.25">
      <c r="A82" t="s">
        <v>12</v>
      </c>
      <c r="B82" s="1">
        <v>0.93100000000000005</v>
      </c>
      <c r="C82" s="1">
        <v>0.93100000000000005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20">
        <f>IFERROR(AVERAGE(B82:M98),"")</f>
        <v>171.5091340909091</v>
      </c>
      <c r="O82" s="26"/>
      <c r="P82" s="31">
        <f>IFERROR(AVERAGE(B82:D98),"")</f>
        <v>171.5091340909091</v>
      </c>
      <c r="Q82" s="22" t="str">
        <f>IFERROR(AVERAGE(E82:G98),"")</f>
        <v/>
      </c>
      <c r="R82" s="22" t="str">
        <f>IFERROR(AVERAGE(H82:J98),"")</f>
        <v/>
      </c>
      <c r="S82" s="22" t="str">
        <f>IFERROR(AVERAGE(K82:M98),"")</f>
        <v/>
      </c>
    </row>
    <row r="83" spans="1:19" x14ac:dyDescent="0.25">
      <c r="A83" t="s">
        <v>13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0">
        <f>IFERROR(AVERAGE(B83:M99),"")</f>
        <v>188.56694750000003</v>
      </c>
      <c r="O83" s="26"/>
      <c r="P83" s="31">
        <f>IFERROR(AVERAGE(B83:D99),"")</f>
        <v>188.56694750000003</v>
      </c>
      <c r="Q83" s="22" t="str">
        <f>IFERROR(AVERAGE(E83:G99),"")</f>
        <v/>
      </c>
      <c r="R83" s="22" t="str">
        <f>IFERROR(AVERAGE(H83:J99),"")</f>
        <v/>
      </c>
      <c r="S83" s="22" t="str">
        <f>IFERROR(AVERAGE(K83:M99),"")</f>
        <v/>
      </c>
    </row>
    <row r="84" spans="1:19" ht="17.25" x14ac:dyDescent="0.4">
      <c r="A84" s="28" t="s">
        <v>60</v>
      </c>
      <c r="B84" s="32">
        <f>IFERROR(SUBTOTAL(101,tblTemplate616[January]),"")</f>
        <v>0.75447500000000001</v>
      </c>
      <c r="C84" s="32">
        <f>IFERROR(SUBTOTAL(101,tblTemplate616[February]),"")</f>
        <v>0.75447500000000001</v>
      </c>
      <c r="D84" s="32" t="str">
        <f>IFERROR(SUBTOTAL(101,tblTemplate616[March]),"")</f>
        <v/>
      </c>
      <c r="E84" s="32" t="str">
        <f>IFERROR(SUBTOTAL(101,tblTemplate616[April]),"")</f>
        <v/>
      </c>
      <c r="F84" s="32" t="str">
        <f>IFERROR(SUBTOTAL(101,tblTemplate616[May]),"")</f>
        <v/>
      </c>
      <c r="G84" s="32" t="str">
        <f>IFERROR(SUBTOTAL(101,tblTemplate616[June]),"")</f>
        <v/>
      </c>
      <c r="H84" s="32" t="str">
        <f>IFERROR(SUBTOTAL(101,tblTemplate616[July]),"")</f>
        <v/>
      </c>
      <c r="I84" s="32" t="str">
        <f>IFERROR(SUBTOTAL(101,tblTemplate616[August]),"")</f>
        <v/>
      </c>
      <c r="J84" s="32" t="str">
        <f>IFERROR(SUBTOTAL(101,tblTemplate616[September]),"")</f>
        <v/>
      </c>
      <c r="K84" s="32" t="str">
        <f>IFERROR(SUBTOTAL(101,tblTemplate616[October]),"")</f>
        <v/>
      </c>
      <c r="L84" s="32" t="str">
        <f>IFERROR(SUBTOTAL(101,tblTemplate616[November]),"")</f>
        <v/>
      </c>
      <c r="M84" s="32" t="str">
        <f>IFERROR(SUBTOTAL(101,tblTemplate616[December]),"")</f>
        <v/>
      </c>
      <c r="N84" s="33">
        <f>IFERROR(SUBTOTAL(101,tblTemplate616[Average of Col6]),"")</f>
        <v>44.891466575577205</v>
      </c>
      <c r="O84" s="30"/>
      <c r="P84" s="33">
        <f>IFERROR(SUBTOTAL(101,tblTemplate616[Q1]),"")</f>
        <v>44.891466575577205</v>
      </c>
      <c r="Q84" s="33" t="str">
        <f>IFERROR(SUBTOTAL(101,tblTemplate616[Q2]),"")</f>
        <v/>
      </c>
      <c r="R84" s="33" t="str">
        <f>IFERROR(SUBTOTAL(101,tblTemplate616[Q3]),"")</f>
        <v/>
      </c>
      <c r="S84" s="33" t="str">
        <f>IFERROR(SUBTOTAL(101,tblTemplate616[Q4]),"")</f>
        <v/>
      </c>
    </row>
    <row r="87" spans="1:19" ht="18.75" x14ac:dyDescent="0.3">
      <c r="A87" s="4" t="str">
        <f>'Master Data'!H1</f>
        <v>Col7</v>
      </c>
    </row>
    <row r="88" spans="1:19" ht="30" customHeight="1" x14ac:dyDescent="0.25">
      <c r="A88" s="10" t="s">
        <v>43</v>
      </c>
      <c r="B88" s="10" t="s">
        <v>44</v>
      </c>
      <c r="C88" s="10" t="s">
        <v>1</v>
      </c>
      <c r="D88" s="10" t="s">
        <v>45</v>
      </c>
      <c r="E88" s="10" t="s">
        <v>46</v>
      </c>
      <c r="F88" s="10" t="s">
        <v>47</v>
      </c>
      <c r="G88" s="10" t="s">
        <v>48</v>
      </c>
      <c r="H88" s="10" t="s">
        <v>49</v>
      </c>
      <c r="I88" s="10" t="s">
        <v>50</v>
      </c>
      <c r="J88" s="10" t="s">
        <v>51</v>
      </c>
      <c r="K88" s="10" t="s">
        <v>52</v>
      </c>
      <c r="L88" s="10" t="s">
        <v>53</v>
      </c>
      <c r="M88" s="10" t="s">
        <v>54</v>
      </c>
      <c r="N88" s="9" t="s">
        <v>69</v>
      </c>
      <c r="O88" s="11" t="s">
        <v>55</v>
      </c>
      <c r="P88" s="11" t="s">
        <v>56</v>
      </c>
      <c r="Q88" s="11" t="s">
        <v>57</v>
      </c>
      <c r="R88" s="11" t="s">
        <v>58</v>
      </c>
      <c r="S88" s="11" t="s">
        <v>59</v>
      </c>
    </row>
    <row r="89" spans="1:19" x14ac:dyDescent="0.25">
      <c r="A89" t="s">
        <v>13</v>
      </c>
      <c r="B89" s="18">
        <v>154.56</v>
      </c>
      <c r="C89" s="18">
        <v>154.56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20">
        <f t="shared" ref="N89:N95" si="30">IFERROR(AVERAGE(B89:M97),"")</f>
        <v>209.43500000000003</v>
      </c>
      <c r="O89" s="25"/>
      <c r="P89" s="22">
        <f t="shared" ref="P89:P95" si="31">IFERROR(AVERAGE(B89:D97),"")</f>
        <v>209.43500000000003</v>
      </c>
      <c r="Q89" s="22" t="str">
        <f t="shared" ref="Q89:Q95" si="32">IFERROR(AVERAGE(E89:G97),"")</f>
        <v/>
      </c>
      <c r="R89" s="22" t="str">
        <f t="shared" ref="R89:R95" si="33">IFERROR(AVERAGE(H89:J97),"")</f>
        <v/>
      </c>
      <c r="S89" s="22" t="str">
        <f t="shared" ref="S89:S95" si="34">IFERROR(AVERAGE(K89:M97),"")</f>
        <v/>
      </c>
    </row>
    <row r="90" spans="1:19" x14ac:dyDescent="0.25">
      <c r="A90" t="s">
        <v>6</v>
      </c>
      <c r="B90" s="18">
        <v>203.33</v>
      </c>
      <c r="C90" s="18">
        <v>203.33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20">
        <f t="shared" si="30"/>
        <v>216.294375</v>
      </c>
      <c r="O90" s="26"/>
      <c r="P90" s="31">
        <f t="shared" si="31"/>
        <v>216.294375</v>
      </c>
      <c r="Q90" s="22" t="str">
        <f t="shared" si="32"/>
        <v/>
      </c>
      <c r="R90" s="22" t="str">
        <f t="shared" si="33"/>
        <v/>
      </c>
      <c r="S90" s="22" t="str">
        <f t="shared" si="34"/>
        <v/>
      </c>
    </row>
    <row r="91" spans="1:19" x14ac:dyDescent="0.25">
      <c r="A91" t="s">
        <v>7</v>
      </c>
      <c r="B91" s="18">
        <v>288.31</v>
      </c>
      <c r="C91" s="18">
        <v>288.31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20">
        <f t="shared" si="30"/>
        <v>218.14642857142857</v>
      </c>
      <c r="O91" s="26"/>
      <c r="P91" s="31">
        <f t="shared" si="31"/>
        <v>218.14642857142857</v>
      </c>
      <c r="Q91" s="22" t="str">
        <f t="shared" si="32"/>
        <v/>
      </c>
      <c r="R91" s="22" t="str">
        <f t="shared" si="33"/>
        <v/>
      </c>
      <c r="S91" s="22" t="str">
        <f t="shared" si="34"/>
        <v/>
      </c>
    </row>
    <row r="92" spans="1:19" x14ac:dyDescent="0.25">
      <c r="A92" t="s">
        <v>8</v>
      </c>
      <c r="B92" s="18">
        <v>195.51</v>
      </c>
      <c r="C92" s="18">
        <v>195.51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20">
        <f t="shared" si="30"/>
        <v>206.45249999999999</v>
      </c>
      <c r="O92" s="26"/>
      <c r="P92" s="31">
        <f t="shared" si="31"/>
        <v>206.45249999999999</v>
      </c>
      <c r="Q92" s="22" t="str">
        <f t="shared" si="32"/>
        <v/>
      </c>
      <c r="R92" s="22" t="str">
        <f t="shared" si="33"/>
        <v/>
      </c>
      <c r="S92" s="22" t="str">
        <f t="shared" si="34"/>
        <v/>
      </c>
    </row>
    <row r="93" spans="1:19" x14ac:dyDescent="0.25">
      <c r="A93" t="s">
        <v>9</v>
      </c>
      <c r="B93" s="18">
        <v>189.91</v>
      </c>
      <c r="C93" s="18">
        <v>189.91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20">
        <f t="shared" si="30"/>
        <v>208.64099999999999</v>
      </c>
      <c r="O93" s="26"/>
      <c r="P93" s="31">
        <f t="shared" si="31"/>
        <v>208.64099999999999</v>
      </c>
      <c r="Q93" s="22" t="str">
        <f t="shared" si="32"/>
        <v/>
      </c>
      <c r="R93" s="22" t="str">
        <f t="shared" si="33"/>
        <v/>
      </c>
      <c r="S93" s="22" t="str">
        <f t="shared" si="34"/>
        <v/>
      </c>
    </row>
    <row r="94" spans="1:19" x14ac:dyDescent="0.25">
      <c r="A94" t="s">
        <v>10</v>
      </c>
      <c r="B94" s="18">
        <v>162.88</v>
      </c>
      <c r="C94" s="18">
        <v>162.88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20">
        <f t="shared" si="30"/>
        <v>213.32374999999996</v>
      </c>
      <c r="O94" s="26"/>
      <c r="P94" s="31">
        <f t="shared" si="31"/>
        <v>213.32374999999996</v>
      </c>
      <c r="Q94" s="22" t="str">
        <f t="shared" si="32"/>
        <v/>
      </c>
      <c r="R94" s="22" t="str">
        <f t="shared" si="33"/>
        <v/>
      </c>
      <c r="S94" s="22" t="str">
        <f t="shared" si="34"/>
        <v/>
      </c>
    </row>
    <row r="95" spans="1:19" x14ac:dyDescent="0.25">
      <c r="A95" t="s">
        <v>11</v>
      </c>
      <c r="B95" s="18">
        <v>280.39999999999998</v>
      </c>
      <c r="C95" s="18">
        <v>280.39999999999998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20">
        <f t="shared" si="30"/>
        <v>172.66244999999998</v>
      </c>
      <c r="O95" s="26"/>
      <c r="P95" s="31">
        <f t="shared" si="31"/>
        <v>172.66244999999998</v>
      </c>
      <c r="Q95" s="22" t="str">
        <f t="shared" si="32"/>
        <v/>
      </c>
      <c r="R95" s="22" t="str">
        <f t="shared" si="33"/>
        <v/>
      </c>
      <c r="S95" s="22" t="str">
        <f t="shared" si="34"/>
        <v/>
      </c>
    </row>
    <row r="96" spans="1:19" x14ac:dyDescent="0.25">
      <c r="A96" t="s">
        <v>12</v>
      </c>
      <c r="B96" s="18">
        <v>200.58</v>
      </c>
      <c r="C96" s="18">
        <v>200.58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20">
        <f>IFERROR(AVERAGE(B96:M112),"")</f>
        <v>37.491604545454543</v>
      </c>
      <c r="O96" s="26"/>
      <c r="P96" s="31">
        <f>IFERROR(AVERAGE(B96:D112),"")</f>
        <v>37.491604545454543</v>
      </c>
      <c r="Q96" s="22" t="str">
        <f>IFERROR(AVERAGE(E96:G112),"")</f>
        <v/>
      </c>
      <c r="R96" s="22" t="str">
        <f>IFERROR(AVERAGE(H96:J112),"")</f>
        <v/>
      </c>
      <c r="S96" s="22" t="str">
        <f>IFERROR(AVERAGE(K96:M112),"")</f>
        <v/>
      </c>
    </row>
    <row r="97" spans="1:19" x14ac:dyDescent="0.25">
      <c r="A97" t="s">
        <v>13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0">
        <f>IFERROR(AVERAGE(B97:M113),"")</f>
        <v>21.182765000000007</v>
      </c>
      <c r="O97" s="26"/>
      <c r="P97" s="31">
        <f>IFERROR(AVERAGE(B97:D113),"")</f>
        <v>21.182765000000007</v>
      </c>
      <c r="Q97" s="22" t="str">
        <f>IFERROR(AVERAGE(E97:G113),"")</f>
        <v/>
      </c>
      <c r="R97" s="22" t="str">
        <f>IFERROR(AVERAGE(H97:J113),"")</f>
        <v/>
      </c>
      <c r="S97" s="22" t="str">
        <f>IFERROR(AVERAGE(K97:M113),"")</f>
        <v/>
      </c>
    </row>
    <row r="98" spans="1:19" ht="17.25" x14ac:dyDescent="0.4">
      <c r="A98" s="28" t="s">
        <v>61</v>
      </c>
      <c r="B98" s="34">
        <f>IFERROR(SUBTOTAL(101,tblTemplate717[January]),"")</f>
        <v>209.435</v>
      </c>
      <c r="C98" s="34">
        <f>IFERROR(SUBTOTAL(101,tblTemplate717[February]),"")</f>
        <v>209.435</v>
      </c>
      <c r="D98" s="34" t="str">
        <f>IFERROR(SUBTOTAL(101,tblTemplate717[March]),"")</f>
        <v/>
      </c>
      <c r="E98" s="34" t="str">
        <f>IFERROR(SUBTOTAL(101,tblTemplate717[April]),"")</f>
        <v/>
      </c>
      <c r="F98" s="34" t="str">
        <f>IFERROR(SUBTOTAL(101,tblTemplate717[May]),"")</f>
        <v/>
      </c>
      <c r="G98" s="34" t="str">
        <f>IFERROR(SUBTOTAL(101,tblTemplate717[June]),"")</f>
        <v/>
      </c>
      <c r="H98" s="34" t="str">
        <f>IFERROR(SUBTOTAL(101,tblTemplate717[July]),"")</f>
        <v/>
      </c>
      <c r="I98" s="34" t="str">
        <f>IFERROR(SUBTOTAL(101,tblTemplate717[August]),"")</f>
        <v/>
      </c>
      <c r="J98" s="34" t="str">
        <f>IFERROR(SUBTOTAL(101,tblTemplate717[September]),"")</f>
        <v/>
      </c>
      <c r="K98" s="34" t="str">
        <f>IFERROR(SUBTOTAL(101,tblTemplate717[October]),"")</f>
        <v/>
      </c>
      <c r="L98" s="34" t="str">
        <f>IFERROR(SUBTOTAL(101,tblTemplate717[November]),"")</f>
        <v/>
      </c>
      <c r="M98" s="34" t="str">
        <f>IFERROR(SUBTOTAL(101,tblTemplate717[December]),"")</f>
        <v/>
      </c>
      <c r="N98" s="33">
        <f>IFERROR(SUBTOTAL(101,tblTemplate717[Average of Col7]),"")</f>
        <v>167.0699859018759</v>
      </c>
      <c r="O98" s="30"/>
      <c r="P98" s="33">
        <f>IFERROR(SUBTOTAL(101,tblTemplate717[Q1]),"")</f>
        <v>167.0699859018759</v>
      </c>
      <c r="Q98" s="33" t="str">
        <f>IFERROR(SUBTOTAL(101,tblTemplate717[Q2]),"")</f>
        <v/>
      </c>
      <c r="R98" s="33" t="str">
        <f>IFERROR(SUBTOTAL(101,tblTemplate717[Q3]),"")</f>
        <v/>
      </c>
      <c r="S98" s="33" t="str">
        <f>IFERROR(SUBTOTAL(101,tblTemplate717[Q4]),"")</f>
        <v/>
      </c>
    </row>
    <row r="101" spans="1:19" ht="18.75" x14ac:dyDescent="0.3">
      <c r="A101" s="4" t="str">
        <f>'Master Data'!I1</f>
        <v>Col8</v>
      </c>
    </row>
    <row r="102" spans="1:19" ht="30" customHeight="1" x14ac:dyDescent="0.25">
      <c r="A102" s="10" t="s">
        <v>43</v>
      </c>
      <c r="B102" s="10" t="s">
        <v>44</v>
      </c>
      <c r="C102" s="10" t="s">
        <v>1</v>
      </c>
      <c r="D102" s="10" t="s">
        <v>45</v>
      </c>
      <c r="E102" s="10" t="s">
        <v>46</v>
      </c>
      <c r="F102" s="10" t="s">
        <v>47</v>
      </c>
      <c r="G102" s="10" t="s">
        <v>48</v>
      </c>
      <c r="H102" s="10" t="s">
        <v>49</v>
      </c>
      <c r="I102" s="10" t="s">
        <v>50</v>
      </c>
      <c r="J102" s="10" t="s">
        <v>51</v>
      </c>
      <c r="K102" s="10" t="s">
        <v>52</v>
      </c>
      <c r="L102" s="10" t="s">
        <v>53</v>
      </c>
      <c r="M102" s="10" t="s">
        <v>54</v>
      </c>
      <c r="N102" s="9" t="s">
        <v>70</v>
      </c>
      <c r="O102" s="11" t="s">
        <v>55</v>
      </c>
      <c r="P102" s="11" t="s">
        <v>56</v>
      </c>
      <c r="Q102" s="11" t="s">
        <v>57</v>
      </c>
      <c r="R102" s="11" t="s">
        <v>58</v>
      </c>
      <c r="S102" s="11" t="s">
        <v>59</v>
      </c>
    </row>
    <row r="103" spans="1:19" x14ac:dyDescent="0.25">
      <c r="A103" t="s">
        <v>13</v>
      </c>
      <c r="B103" s="1">
        <v>0.23480000000000001</v>
      </c>
      <c r="C103" s="1">
        <v>0.23480000000000001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0">
        <f t="shared" ref="N103:N109" si="35">IFERROR(AVERAGE(B103:M111),"")</f>
        <v>0.26584999999999998</v>
      </c>
      <c r="O103" s="25"/>
      <c r="P103" s="22">
        <f t="shared" ref="P103:P109" si="36">IFERROR(AVERAGE(B103:D111),"")</f>
        <v>0.26584999999999998</v>
      </c>
      <c r="Q103" s="22" t="str">
        <f t="shared" ref="Q103:Q109" si="37">IFERROR(AVERAGE(E103:G111),"")</f>
        <v/>
      </c>
      <c r="R103" s="22" t="str">
        <f t="shared" ref="R103:R109" si="38">IFERROR(AVERAGE(H103:J111),"")</f>
        <v/>
      </c>
      <c r="S103" s="22" t="str">
        <f t="shared" ref="S103:S109" si="39">IFERROR(AVERAGE(K103:M111),"")</f>
        <v/>
      </c>
    </row>
    <row r="104" spans="1:19" x14ac:dyDescent="0.25">
      <c r="A104" t="s">
        <v>6</v>
      </c>
      <c r="B104" s="1">
        <v>0.57689999999999997</v>
      </c>
      <c r="C104" s="1">
        <v>0.57689999999999997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0">
        <f t="shared" si="35"/>
        <v>0.26973124999999998</v>
      </c>
      <c r="O104" s="26"/>
      <c r="P104" s="31">
        <f t="shared" si="36"/>
        <v>0.26973124999999998</v>
      </c>
      <c r="Q104" s="22" t="str">
        <f t="shared" si="37"/>
        <v/>
      </c>
      <c r="R104" s="22" t="str">
        <f t="shared" si="38"/>
        <v/>
      </c>
      <c r="S104" s="22" t="str">
        <f t="shared" si="39"/>
        <v/>
      </c>
    </row>
    <row r="105" spans="1:19" x14ac:dyDescent="0.25">
      <c r="A105" t="s">
        <v>7</v>
      </c>
      <c r="B105" s="1">
        <v>0.31469999999999998</v>
      </c>
      <c r="C105" s="1">
        <v>0.31469999999999998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0">
        <f t="shared" si="35"/>
        <v>0.22584999999999994</v>
      </c>
      <c r="O105" s="26"/>
      <c r="P105" s="31">
        <f t="shared" si="36"/>
        <v>0.22584999999999994</v>
      </c>
      <c r="Q105" s="22" t="str">
        <f t="shared" si="37"/>
        <v/>
      </c>
      <c r="R105" s="22" t="str">
        <f t="shared" si="38"/>
        <v/>
      </c>
      <c r="S105" s="22" t="str">
        <f t="shared" si="39"/>
        <v/>
      </c>
    </row>
    <row r="106" spans="1:19" x14ac:dyDescent="0.25">
      <c r="A106" t="s">
        <v>8</v>
      </c>
      <c r="B106" s="1">
        <v>0.2253</v>
      </c>
      <c r="C106" s="1">
        <v>0.2253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0">
        <f t="shared" si="35"/>
        <v>0.21104166666666668</v>
      </c>
      <c r="O106" s="26"/>
      <c r="P106" s="31">
        <f t="shared" si="36"/>
        <v>0.21104166666666668</v>
      </c>
      <c r="Q106" s="22" t="str">
        <f t="shared" si="37"/>
        <v/>
      </c>
      <c r="R106" s="22" t="str">
        <f t="shared" si="38"/>
        <v/>
      </c>
      <c r="S106" s="22" t="str">
        <f t="shared" si="39"/>
        <v/>
      </c>
    </row>
    <row r="107" spans="1:19" x14ac:dyDescent="0.25">
      <c r="A107" t="s">
        <v>9</v>
      </c>
      <c r="B107" s="1">
        <v>0.16919999999999999</v>
      </c>
      <c r="C107" s="1">
        <v>0.16919999999999999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0">
        <f t="shared" si="35"/>
        <v>0.20819000000000001</v>
      </c>
      <c r="O107" s="26"/>
      <c r="P107" s="31">
        <f t="shared" si="36"/>
        <v>0.20819000000000001</v>
      </c>
      <c r="Q107" s="22" t="str">
        <f t="shared" si="37"/>
        <v/>
      </c>
      <c r="R107" s="22" t="str">
        <f t="shared" si="38"/>
        <v/>
      </c>
      <c r="S107" s="22" t="str">
        <f t="shared" si="39"/>
        <v/>
      </c>
    </row>
    <row r="108" spans="1:19" x14ac:dyDescent="0.25">
      <c r="A108" t="s">
        <v>10</v>
      </c>
      <c r="B108" s="1">
        <v>0.2321</v>
      </c>
      <c r="C108" s="1">
        <v>0.2321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0">
        <f t="shared" si="35"/>
        <v>0.21793749999999998</v>
      </c>
      <c r="O108" s="26"/>
      <c r="P108" s="31">
        <f t="shared" si="36"/>
        <v>0.21793749999999998</v>
      </c>
      <c r="Q108" s="22" t="str">
        <f t="shared" si="37"/>
        <v/>
      </c>
      <c r="R108" s="22" t="str">
        <f t="shared" si="38"/>
        <v/>
      </c>
      <c r="S108" s="22" t="str">
        <f t="shared" si="39"/>
        <v/>
      </c>
    </row>
    <row r="109" spans="1:19" x14ac:dyDescent="0.25">
      <c r="A109" t="s">
        <v>11</v>
      </c>
      <c r="B109" s="1">
        <v>0.1384</v>
      </c>
      <c r="C109" s="1">
        <v>0.1384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0">
        <f t="shared" si="35"/>
        <v>0.39738749999999995</v>
      </c>
      <c r="O109" s="26"/>
      <c r="P109" s="31">
        <f t="shared" si="36"/>
        <v>0.39738749999999995</v>
      </c>
      <c r="Q109" s="22" t="str">
        <f t="shared" si="37"/>
        <v/>
      </c>
      <c r="R109" s="22" t="str">
        <f t="shared" si="38"/>
        <v/>
      </c>
      <c r="S109" s="22" t="str">
        <f t="shared" si="39"/>
        <v/>
      </c>
    </row>
    <row r="110" spans="1:19" x14ac:dyDescent="0.25">
      <c r="A110" t="s">
        <v>12</v>
      </c>
      <c r="B110" s="1">
        <v>0.2354</v>
      </c>
      <c r="C110" s="1">
        <v>0.2354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0">
        <f>IFERROR(AVERAGE(B110:M126),"")</f>
        <v>0.81437272727272725</v>
      </c>
      <c r="O110" s="26"/>
      <c r="P110" s="31">
        <f>IFERROR(AVERAGE(B110:D126),"")</f>
        <v>0.81437272727272725</v>
      </c>
      <c r="Q110" s="22" t="str">
        <f>IFERROR(AVERAGE(E110:G126),"")</f>
        <v/>
      </c>
      <c r="R110" s="22" t="str">
        <f>IFERROR(AVERAGE(H110:J126),"")</f>
        <v/>
      </c>
      <c r="S110" s="22" t="str">
        <f>IFERROR(AVERAGE(K110:M126),"")</f>
        <v/>
      </c>
    </row>
    <row r="111" spans="1:19" x14ac:dyDescent="0.25">
      <c r="A111" t="s">
        <v>13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0">
        <f>IFERROR(AVERAGE(B111:M127),"")</f>
        <v>0.8722700000000001</v>
      </c>
      <c r="O111" s="26"/>
      <c r="P111" s="31">
        <f>IFERROR(AVERAGE(B111:D127),"")</f>
        <v>0.8722700000000001</v>
      </c>
      <c r="Q111" s="22" t="str">
        <f>IFERROR(AVERAGE(E111:G127),"")</f>
        <v/>
      </c>
      <c r="R111" s="22" t="str">
        <f>IFERROR(AVERAGE(H111:J127),"")</f>
        <v/>
      </c>
      <c r="S111" s="22" t="str">
        <f>IFERROR(AVERAGE(K111:M127),"")</f>
        <v/>
      </c>
    </row>
    <row r="112" spans="1:19" ht="17.25" x14ac:dyDescent="0.4">
      <c r="A112" s="28" t="s">
        <v>60</v>
      </c>
      <c r="B112" s="32">
        <f>IFERROR(SUBTOTAL(101,tblTemplate818[January]),"")</f>
        <v>0.26584999999999998</v>
      </c>
      <c r="C112" s="32">
        <f>IFERROR(SUBTOTAL(101,tblTemplate818[February]),"")</f>
        <v>0.26584999999999998</v>
      </c>
      <c r="D112" s="32" t="str">
        <f>IFERROR(SUBTOTAL(101,tblTemplate818[March]),"")</f>
        <v/>
      </c>
      <c r="E112" s="32" t="str">
        <f>IFERROR(SUBTOTAL(101,tblTemplate818[April]),"")</f>
        <v/>
      </c>
      <c r="F112" s="32" t="str">
        <f>IFERROR(SUBTOTAL(101,tblTemplate818[May]),"")</f>
        <v/>
      </c>
      <c r="G112" s="32" t="str">
        <f>IFERROR(SUBTOTAL(101,tblTemplate818[June]),"")</f>
        <v/>
      </c>
      <c r="H112" s="32" t="str">
        <f>IFERROR(SUBTOTAL(101,tblTemplate818[July]),"")</f>
        <v/>
      </c>
      <c r="I112" s="32" t="str">
        <f>IFERROR(SUBTOTAL(101,tblTemplate818[August]),"")</f>
        <v/>
      </c>
      <c r="J112" s="32" t="str">
        <f>IFERROR(SUBTOTAL(101,tblTemplate818[September]),"")</f>
        <v/>
      </c>
      <c r="K112" s="32" t="str">
        <f>IFERROR(SUBTOTAL(101,tblTemplate818[October]),"")</f>
        <v/>
      </c>
      <c r="L112" s="32" t="str">
        <f>IFERROR(SUBTOTAL(101,tblTemplate818[November]),"")</f>
        <v/>
      </c>
      <c r="M112" s="32" t="str">
        <f>IFERROR(SUBTOTAL(101,tblTemplate818[December]),"")</f>
        <v/>
      </c>
      <c r="N112" s="33">
        <f>IFERROR(SUBTOTAL(101,tblTemplate818[Average of Col8]),"")</f>
        <v>0.38695896043771039</v>
      </c>
      <c r="O112" s="30"/>
      <c r="P112" s="33">
        <f>IFERROR(SUBTOTAL(101,tblTemplate818[Q1]),"")</f>
        <v>0.38695896043771039</v>
      </c>
      <c r="Q112" s="33" t="str">
        <f>IFERROR(SUBTOTAL(101,tblTemplate818[Q2]),"")</f>
        <v/>
      </c>
      <c r="R112" s="33" t="str">
        <f>IFERROR(SUBTOTAL(101,tblTemplate818[Q3]),"")</f>
        <v/>
      </c>
      <c r="S112" s="33" t="str">
        <f>IFERROR(SUBTOTAL(101,tblTemplate818[Q4]),"")</f>
        <v/>
      </c>
    </row>
    <row r="115" spans="1:19" ht="18.75" x14ac:dyDescent="0.3">
      <c r="A115" s="4" t="str">
        <f>'Master Data'!J1</f>
        <v>Col9</v>
      </c>
    </row>
    <row r="116" spans="1:19" ht="30" customHeight="1" x14ac:dyDescent="0.25">
      <c r="A116" s="10" t="s">
        <v>43</v>
      </c>
      <c r="B116" s="10" t="s">
        <v>44</v>
      </c>
      <c r="C116" s="10" t="s">
        <v>1</v>
      </c>
      <c r="D116" s="10" t="s">
        <v>45</v>
      </c>
      <c r="E116" s="10" t="s">
        <v>46</v>
      </c>
      <c r="F116" s="10" t="s">
        <v>47</v>
      </c>
      <c r="G116" s="10" t="s">
        <v>48</v>
      </c>
      <c r="H116" s="10" t="s">
        <v>49</v>
      </c>
      <c r="I116" s="10" t="s">
        <v>50</v>
      </c>
      <c r="J116" s="10" t="s">
        <v>51</v>
      </c>
      <c r="K116" s="10" t="s">
        <v>52</v>
      </c>
      <c r="L116" s="10" t="s">
        <v>53</v>
      </c>
      <c r="M116" s="10" t="s">
        <v>54</v>
      </c>
      <c r="N116" s="9" t="s">
        <v>71</v>
      </c>
      <c r="O116" s="11" t="s">
        <v>55</v>
      </c>
      <c r="P116" s="11" t="s">
        <v>56</v>
      </c>
      <c r="Q116" s="11" t="s">
        <v>57</v>
      </c>
      <c r="R116" s="11" t="s">
        <v>58</v>
      </c>
      <c r="S116" s="11" t="s">
        <v>59</v>
      </c>
    </row>
    <row r="117" spans="1:19" ht="17.25" x14ac:dyDescent="0.4">
      <c r="A117" t="s">
        <v>13</v>
      </c>
      <c r="B117" s="1">
        <v>0.94989999999999997</v>
      </c>
      <c r="C117" s="1">
        <v>0.94989999999999997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0">
        <f t="shared" ref="N117:N125" si="40">IFERROR(AVERAGE(B117:M125),"")</f>
        <v>0.9396500000000001</v>
      </c>
      <c r="O117" s="3"/>
      <c r="P117" s="22">
        <f t="shared" ref="P117:P125" si="41">IFERROR(AVERAGE(B117:D125),"")</f>
        <v>0.9396500000000001</v>
      </c>
      <c r="Q117" s="22" t="str">
        <f t="shared" ref="Q117:Q125" si="42">IFERROR(AVERAGE(E117:G125),"")</f>
        <v/>
      </c>
      <c r="R117" s="22" t="str">
        <f t="shared" ref="R117:R125" si="43">IFERROR(AVERAGE(H117:J125),"")</f>
        <v/>
      </c>
      <c r="S117" s="22" t="str">
        <f t="shared" ref="S117:S125" si="44">IFERROR(AVERAGE(K117:M125),"")</f>
        <v/>
      </c>
    </row>
    <row r="118" spans="1:19" ht="17.25" x14ac:dyDescent="0.4">
      <c r="A118" t="s">
        <v>6</v>
      </c>
      <c r="B118" s="1">
        <v>0.96279999999999999</v>
      </c>
      <c r="C118" s="1">
        <v>0.96279999999999999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0">
        <f t="shared" si="40"/>
        <v>0.9383687500000002</v>
      </c>
      <c r="O118" s="35"/>
      <c r="P118" s="22">
        <f t="shared" si="41"/>
        <v>0.9383687500000002</v>
      </c>
      <c r="Q118" s="22" t="str">
        <f t="shared" si="42"/>
        <v/>
      </c>
      <c r="R118" s="22" t="str">
        <f t="shared" si="43"/>
        <v/>
      </c>
      <c r="S118" s="22" t="str">
        <f t="shared" si="44"/>
        <v/>
      </c>
    </row>
    <row r="119" spans="1:19" ht="17.25" x14ac:dyDescent="0.4">
      <c r="A119" t="s">
        <v>7</v>
      </c>
      <c r="B119" s="1">
        <v>0.92049999999999998</v>
      </c>
      <c r="C119" s="1">
        <v>0.92049999999999998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0">
        <f t="shared" si="40"/>
        <v>0.93487857142857156</v>
      </c>
      <c r="O119" s="35"/>
      <c r="P119" s="22">
        <f t="shared" si="41"/>
        <v>0.93487857142857156</v>
      </c>
      <c r="Q119" s="22" t="str">
        <f t="shared" si="42"/>
        <v/>
      </c>
      <c r="R119" s="22" t="str">
        <f t="shared" si="43"/>
        <v/>
      </c>
      <c r="S119" s="22" t="str">
        <f t="shared" si="44"/>
        <v/>
      </c>
    </row>
    <row r="120" spans="1:19" ht="17.25" x14ac:dyDescent="0.4">
      <c r="A120" t="s">
        <v>8</v>
      </c>
      <c r="B120" s="1">
        <v>0.97040000000000004</v>
      </c>
      <c r="C120" s="1">
        <v>0.97040000000000004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0">
        <f t="shared" si="40"/>
        <v>0.93727500000000008</v>
      </c>
      <c r="O120" s="35"/>
      <c r="P120" s="22">
        <f t="shared" si="41"/>
        <v>0.93727500000000008</v>
      </c>
      <c r="Q120" s="22" t="str">
        <f t="shared" si="42"/>
        <v/>
      </c>
      <c r="R120" s="22" t="str">
        <f t="shared" si="43"/>
        <v/>
      </c>
      <c r="S120" s="22" t="str">
        <f t="shared" si="44"/>
        <v/>
      </c>
    </row>
    <row r="121" spans="1:19" ht="17.25" x14ac:dyDescent="0.4">
      <c r="A121" t="s">
        <v>9</v>
      </c>
      <c r="B121" s="1">
        <v>0.86350000000000005</v>
      </c>
      <c r="C121" s="1">
        <v>0.86350000000000005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0">
        <f t="shared" si="40"/>
        <v>0.9306500000000002</v>
      </c>
      <c r="O121" s="35"/>
      <c r="P121" s="22">
        <f t="shared" si="41"/>
        <v>0.9306500000000002</v>
      </c>
      <c r="Q121" s="22" t="str">
        <f t="shared" si="42"/>
        <v/>
      </c>
      <c r="R121" s="22" t="str">
        <f t="shared" si="43"/>
        <v/>
      </c>
      <c r="S121" s="22" t="str">
        <f t="shared" si="44"/>
        <v/>
      </c>
    </row>
    <row r="122" spans="1:19" ht="17.25" x14ac:dyDescent="0.4">
      <c r="A122" t="s">
        <v>10</v>
      </c>
      <c r="B122" s="1">
        <v>0.96079999999999999</v>
      </c>
      <c r="C122" s="1">
        <v>0.96079999999999999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0">
        <f t="shared" si="40"/>
        <v>0.94743750000000015</v>
      </c>
      <c r="O122" s="35"/>
      <c r="P122" s="22">
        <f t="shared" si="41"/>
        <v>0.94743750000000015</v>
      </c>
      <c r="Q122" s="22" t="str">
        <f t="shared" si="42"/>
        <v/>
      </c>
      <c r="R122" s="22" t="str">
        <f t="shared" si="43"/>
        <v/>
      </c>
      <c r="S122" s="22" t="str">
        <f t="shared" si="44"/>
        <v/>
      </c>
    </row>
    <row r="123" spans="1:19" ht="17.25" x14ac:dyDescent="0.4">
      <c r="A123" t="s">
        <v>11</v>
      </c>
      <c r="B123" s="1">
        <v>0.94130000000000003</v>
      </c>
      <c r="C123" s="1">
        <v>0.94130000000000003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0">
        <f t="shared" si="40"/>
        <v>0.9429833333333334</v>
      </c>
      <c r="O123" s="35"/>
      <c r="P123" s="22">
        <f t="shared" si="41"/>
        <v>0.9429833333333334</v>
      </c>
      <c r="Q123" s="22" t="str">
        <f t="shared" si="42"/>
        <v/>
      </c>
      <c r="R123" s="22" t="str">
        <f t="shared" si="43"/>
        <v/>
      </c>
      <c r="S123" s="22" t="str">
        <f t="shared" si="44"/>
        <v/>
      </c>
    </row>
    <row r="124" spans="1:19" ht="17.25" x14ac:dyDescent="0.4">
      <c r="A124" t="s">
        <v>12</v>
      </c>
      <c r="B124" s="1">
        <v>0.94799999999999995</v>
      </c>
      <c r="C124" s="1">
        <v>0.94799999999999995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0">
        <f t="shared" si="40"/>
        <v>0.94382500000000014</v>
      </c>
      <c r="O124" s="35"/>
      <c r="P124" s="22">
        <f t="shared" si="41"/>
        <v>0.94382500000000014</v>
      </c>
      <c r="Q124" s="22" t="str">
        <f t="shared" si="42"/>
        <v/>
      </c>
      <c r="R124" s="22" t="str">
        <f t="shared" si="43"/>
        <v/>
      </c>
      <c r="S124" s="22" t="str">
        <f t="shared" si="44"/>
        <v/>
      </c>
    </row>
    <row r="125" spans="1:19" ht="17.25" x14ac:dyDescent="0.4">
      <c r="A125" t="s">
        <v>13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0">
        <f t="shared" si="40"/>
        <v>0.9396500000000001</v>
      </c>
      <c r="O125" s="35"/>
      <c r="P125" s="22">
        <f t="shared" si="41"/>
        <v>0.9396500000000001</v>
      </c>
      <c r="Q125" s="22" t="str">
        <f t="shared" si="42"/>
        <v/>
      </c>
      <c r="R125" s="22" t="str">
        <f t="shared" si="43"/>
        <v/>
      </c>
      <c r="S125" s="22" t="str">
        <f t="shared" si="44"/>
        <v/>
      </c>
    </row>
    <row r="126" spans="1:19" ht="17.25" x14ac:dyDescent="0.4">
      <c r="A126" s="28" t="s">
        <v>60</v>
      </c>
      <c r="B126" s="32">
        <f>IFERROR(SUBTOTAL(101,tblTemplate919[January]),"")</f>
        <v>0.9396500000000001</v>
      </c>
      <c r="C126" s="32">
        <f>IFERROR(SUBTOTAL(101,tblTemplate919[February]),"")</f>
        <v>0.9396500000000001</v>
      </c>
      <c r="D126" s="32" t="str">
        <f>IFERROR(SUBTOTAL(101,tblTemplate919[March]),"")</f>
        <v/>
      </c>
      <c r="E126" s="32" t="str">
        <f>IFERROR(SUBTOTAL(101,tblTemplate919[April]),"")</f>
        <v/>
      </c>
      <c r="F126" s="32" t="str">
        <f>IFERROR(SUBTOTAL(101,tblTemplate919[May]),"")</f>
        <v/>
      </c>
      <c r="G126" s="32" t="str">
        <f>IFERROR(SUBTOTAL(101,tblTemplate919[June]),"")</f>
        <v/>
      </c>
      <c r="H126" s="32" t="str">
        <f>IFERROR(SUBTOTAL(101,tblTemplate919[July]),"")</f>
        <v/>
      </c>
      <c r="I126" s="32" t="str">
        <f>IFERROR(SUBTOTAL(101,tblTemplate919[August]),"")</f>
        <v/>
      </c>
      <c r="J126" s="32" t="str">
        <f>IFERROR(SUBTOTAL(101,tblTemplate919[September]),"")</f>
        <v/>
      </c>
      <c r="K126" s="32" t="str">
        <f>IFERROR(SUBTOTAL(101,tblTemplate919[October]),"")</f>
        <v/>
      </c>
      <c r="L126" s="32" t="str">
        <f>IFERROR(SUBTOTAL(101,tblTemplate919[November]),"")</f>
        <v/>
      </c>
      <c r="M126" s="32" t="str">
        <f>IFERROR(SUBTOTAL(101,tblTemplate919[December]),"")</f>
        <v/>
      </c>
      <c r="N126" s="33">
        <f>IFERROR(SUBTOTAL(101,tblTemplate919[Average of Col9]),"")</f>
        <v>0.93941312830687851</v>
      </c>
      <c r="O126" s="30"/>
      <c r="P126" s="33">
        <f>IFERROR(SUBTOTAL(101,tblTemplate919[Q1]),"")</f>
        <v>0.93941312830687851</v>
      </c>
      <c r="Q126" s="33" t="str">
        <f>IFERROR(SUBTOTAL(101,tblTemplate919[Q2]),"")</f>
        <v/>
      </c>
      <c r="R126" s="33" t="str">
        <f>IFERROR(SUBTOTAL(101,tblTemplate919[Q3]),"")</f>
        <v/>
      </c>
      <c r="S126" s="33" t="str">
        <f>IFERROR(SUBTOTAL(101,tblTemplate919[Q4]),"")</f>
        <v/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Group1!B5:M5</xm:f>
              <xm:sqref>O5</xm:sqref>
            </x14:sparkline>
            <x14:sparkline>
              <xm:f>Group1!B6:M6</xm:f>
              <xm:sqref>O6</xm:sqref>
            </x14:sparkline>
            <x14:sparkline>
              <xm:f>Group1!B7:M7</xm:f>
              <xm:sqref>O7</xm:sqref>
            </x14:sparkline>
            <x14:sparkline>
              <xm:f>Group1!B8:M8</xm:f>
              <xm:sqref>O8</xm:sqref>
            </x14:sparkline>
            <x14:sparkline>
              <xm:f>Group1!B9:M9</xm:f>
              <xm:sqref>O9</xm:sqref>
            </x14:sparkline>
            <x14:sparkline>
              <xm:f>Group1!B10:M10</xm:f>
              <xm:sqref>O10</xm:sqref>
            </x14:sparkline>
            <x14:sparkline>
              <xm:f>Group1!B11:M11</xm:f>
              <xm:sqref>O11</xm:sqref>
            </x14:sparkline>
            <x14:sparkline>
              <xm:f>Group1!B12:M12</xm:f>
              <xm:sqref>O12</xm:sqref>
            </x14:sparkline>
            <x14:sparkline>
              <xm:f>Group1!B13:M13</xm:f>
              <xm:sqref>O13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Group1!B117:M117</xm:f>
              <xm:sqref>O117</xm:sqref>
            </x14:sparkline>
            <x14:sparkline>
              <xm:f>Group1!B118:M118</xm:f>
              <xm:sqref>O118</xm:sqref>
            </x14:sparkline>
            <x14:sparkline>
              <xm:f>Group1!B119:M119</xm:f>
              <xm:sqref>O119</xm:sqref>
            </x14:sparkline>
            <x14:sparkline>
              <xm:f>Group1!B120:M120</xm:f>
              <xm:sqref>O120</xm:sqref>
            </x14:sparkline>
            <x14:sparkline>
              <xm:f>Group1!B121:M121</xm:f>
              <xm:sqref>O121</xm:sqref>
            </x14:sparkline>
            <x14:sparkline>
              <xm:f>Group1!B122:M122</xm:f>
              <xm:sqref>O122</xm:sqref>
            </x14:sparkline>
            <x14:sparkline>
              <xm:f>Group1!B123:M123</xm:f>
              <xm:sqref>O123</xm:sqref>
            </x14:sparkline>
            <x14:sparkline>
              <xm:f>Group1!B124:M124</xm:f>
              <xm:sqref>O124</xm:sqref>
            </x14:sparkline>
            <x14:sparkline>
              <xm:f>Group1!B125:M125</xm:f>
              <xm:sqref>O125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Group1!B112:M112</xm:f>
              <xm:sqref>O112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Group1!B103:M103</xm:f>
              <xm:sqref>O103</xm:sqref>
            </x14:sparkline>
            <x14:sparkline>
              <xm:f>Group1!B104:M104</xm:f>
              <xm:sqref>O104</xm:sqref>
            </x14:sparkline>
            <x14:sparkline>
              <xm:f>Group1!B105:M105</xm:f>
              <xm:sqref>O105</xm:sqref>
            </x14:sparkline>
            <x14:sparkline>
              <xm:f>Group1!B106:M106</xm:f>
              <xm:sqref>O106</xm:sqref>
            </x14:sparkline>
            <x14:sparkline>
              <xm:f>Group1!B107:M107</xm:f>
              <xm:sqref>O107</xm:sqref>
            </x14:sparkline>
            <x14:sparkline>
              <xm:f>Group1!B108:M108</xm:f>
              <xm:sqref>O108</xm:sqref>
            </x14:sparkline>
            <x14:sparkline>
              <xm:f>Group1!B109:M109</xm:f>
              <xm:sqref>O109</xm:sqref>
            </x14:sparkline>
            <x14:sparkline>
              <xm:f>Group1!B110:M110</xm:f>
              <xm:sqref>O110</xm:sqref>
            </x14:sparkline>
            <x14:sparkline>
              <xm:f>Group1!B111:M111</xm:f>
              <xm:sqref>O111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Group1!B98:M98</xm:f>
              <xm:sqref>O98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Group1!B126:M126</xm:f>
              <xm:sqref>O126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Group1!B84:M84</xm:f>
              <xm:sqref>O84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Group1!B75:M75</xm:f>
              <xm:sqref>O75</xm:sqref>
            </x14:sparkline>
            <x14:sparkline>
              <xm:f>Group1!B76:M76</xm:f>
              <xm:sqref>O76</xm:sqref>
            </x14:sparkline>
            <x14:sparkline>
              <xm:f>Group1!B77:M77</xm:f>
              <xm:sqref>O77</xm:sqref>
            </x14:sparkline>
            <x14:sparkline>
              <xm:f>Group1!B78:M78</xm:f>
              <xm:sqref>O78</xm:sqref>
            </x14:sparkline>
            <x14:sparkline>
              <xm:f>Group1!B79:M79</xm:f>
              <xm:sqref>O79</xm:sqref>
            </x14:sparkline>
            <x14:sparkline>
              <xm:f>Group1!B80:M80</xm:f>
              <xm:sqref>O80</xm:sqref>
            </x14:sparkline>
            <x14:sparkline>
              <xm:f>Group1!B81:M81</xm:f>
              <xm:sqref>O81</xm:sqref>
            </x14:sparkline>
            <x14:sparkline>
              <xm:f>Group1!B82:M82</xm:f>
              <xm:sqref>O82</xm:sqref>
            </x14:sparkline>
            <x14:sparkline>
              <xm:f>Group1!B83:M83</xm:f>
              <xm:sqref>O83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Group1!B14:M14</xm:f>
              <xm:sqref>O14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Group1!B70:M70</xm:f>
              <xm:sqref>O70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Group1!B61:M61</xm:f>
              <xm:sqref>O61</xm:sqref>
            </x14:sparkline>
            <x14:sparkline>
              <xm:f>Group1!B62:M62</xm:f>
              <xm:sqref>O62</xm:sqref>
            </x14:sparkline>
            <x14:sparkline>
              <xm:f>Group1!B63:M63</xm:f>
              <xm:sqref>O63</xm:sqref>
            </x14:sparkline>
            <x14:sparkline>
              <xm:f>Group1!B64:M64</xm:f>
              <xm:sqref>O64</xm:sqref>
            </x14:sparkline>
            <x14:sparkline>
              <xm:f>Group1!B65:M65</xm:f>
              <xm:sqref>O65</xm:sqref>
            </x14:sparkline>
            <x14:sparkline>
              <xm:f>Group1!B66:M66</xm:f>
              <xm:sqref>O66</xm:sqref>
            </x14:sparkline>
            <x14:sparkline>
              <xm:f>Group1!B67:M67</xm:f>
              <xm:sqref>O67</xm:sqref>
            </x14:sparkline>
            <x14:sparkline>
              <xm:f>Group1!B68:M68</xm:f>
              <xm:sqref>O68</xm:sqref>
            </x14:sparkline>
            <x14:sparkline>
              <xm:f>Group1!B69:M69</xm:f>
              <xm:sqref>O69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Group1!B56:M56</xm:f>
              <xm:sqref>O56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Group1!B47:M47</xm:f>
              <xm:sqref>O47</xm:sqref>
            </x14:sparkline>
            <x14:sparkline>
              <xm:f>Group1!B48:M48</xm:f>
              <xm:sqref>O48</xm:sqref>
            </x14:sparkline>
            <x14:sparkline>
              <xm:f>Group1!B49:M49</xm:f>
              <xm:sqref>O49</xm:sqref>
            </x14:sparkline>
            <x14:sparkline>
              <xm:f>Group1!B50:M50</xm:f>
              <xm:sqref>O50</xm:sqref>
            </x14:sparkline>
            <x14:sparkline>
              <xm:f>Group1!B51:M51</xm:f>
              <xm:sqref>O51</xm:sqref>
            </x14:sparkline>
            <x14:sparkline>
              <xm:f>Group1!B52:M52</xm:f>
              <xm:sqref>O52</xm:sqref>
            </x14:sparkline>
            <x14:sparkline>
              <xm:f>Group1!B53:M53</xm:f>
              <xm:sqref>O53</xm:sqref>
            </x14:sparkline>
            <x14:sparkline>
              <xm:f>Group1!B54:M54</xm:f>
              <xm:sqref>O54</xm:sqref>
            </x14:sparkline>
            <x14:sparkline>
              <xm:f>Group1!B55:M55</xm:f>
              <xm:sqref>O55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Group1!B42:M42</xm:f>
              <xm:sqref>O42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Group1!B33:M33</xm:f>
              <xm:sqref>O33</xm:sqref>
            </x14:sparkline>
            <x14:sparkline>
              <xm:f>Group1!B34:M34</xm:f>
              <xm:sqref>O34</xm:sqref>
            </x14:sparkline>
            <x14:sparkline>
              <xm:f>Group1!B35:M35</xm:f>
              <xm:sqref>O35</xm:sqref>
            </x14:sparkline>
            <x14:sparkline>
              <xm:f>Group1!B36:M36</xm:f>
              <xm:sqref>O36</xm:sqref>
            </x14:sparkline>
            <x14:sparkline>
              <xm:f>Group1!B37:M37</xm:f>
              <xm:sqref>O37</xm:sqref>
            </x14:sparkline>
            <x14:sparkline>
              <xm:f>Group1!B38:M38</xm:f>
              <xm:sqref>O38</xm:sqref>
            </x14:sparkline>
            <x14:sparkline>
              <xm:f>Group1!B39:M39</xm:f>
              <xm:sqref>O39</xm:sqref>
            </x14:sparkline>
            <x14:sparkline>
              <xm:f>Group1!B40:M40</xm:f>
              <xm:sqref>O40</xm:sqref>
            </x14:sparkline>
            <x14:sparkline>
              <xm:f>Group1!B41:M41</xm:f>
              <xm:sqref>O41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Group1!B28:M28</xm:f>
              <xm:sqref>O28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Group1!B89:M89</xm:f>
              <xm:sqref>O89</xm:sqref>
            </x14:sparkline>
            <x14:sparkline>
              <xm:f>Group1!B90:M90</xm:f>
              <xm:sqref>O90</xm:sqref>
            </x14:sparkline>
            <x14:sparkline>
              <xm:f>Group1!B91:M91</xm:f>
              <xm:sqref>O91</xm:sqref>
            </x14:sparkline>
            <x14:sparkline>
              <xm:f>Group1!B92:M92</xm:f>
              <xm:sqref>O92</xm:sqref>
            </x14:sparkline>
            <x14:sparkline>
              <xm:f>Group1!B93:M93</xm:f>
              <xm:sqref>O93</xm:sqref>
            </x14:sparkline>
            <x14:sparkline>
              <xm:f>Group1!B94:M94</xm:f>
              <xm:sqref>O94</xm:sqref>
            </x14:sparkline>
            <x14:sparkline>
              <xm:f>Group1!B95:M95</xm:f>
              <xm:sqref>O95</xm:sqref>
            </x14:sparkline>
            <x14:sparkline>
              <xm:f>Group1!B96:M96</xm:f>
              <xm:sqref>O96</xm:sqref>
            </x14:sparkline>
            <x14:sparkline>
              <xm:f>Group1!B97:M97</xm:f>
              <xm:sqref>O97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Group1!B19:M19</xm:f>
              <xm:sqref>O19</xm:sqref>
            </x14:sparkline>
            <x14:sparkline>
              <xm:f>Group1!B20:M20</xm:f>
              <xm:sqref>O20</xm:sqref>
            </x14:sparkline>
            <x14:sparkline>
              <xm:f>Group1!B21:M21</xm:f>
              <xm:sqref>O21</xm:sqref>
            </x14:sparkline>
            <x14:sparkline>
              <xm:f>Group1!B22:M22</xm:f>
              <xm:sqref>O22</xm:sqref>
            </x14:sparkline>
            <x14:sparkline>
              <xm:f>Group1!B23:M23</xm:f>
              <xm:sqref>O23</xm:sqref>
            </x14:sparkline>
            <x14:sparkline>
              <xm:f>Group1!B24:M24</xm:f>
              <xm:sqref>O24</xm:sqref>
            </x14:sparkline>
            <x14:sparkline>
              <xm:f>Group1!B25:M25</xm:f>
              <xm:sqref>O25</xm:sqref>
            </x14:sparkline>
            <x14:sparkline>
              <xm:f>Group1!B26:M26</xm:f>
              <xm:sqref>O26</xm:sqref>
            </x14:sparkline>
            <x14:sparkline>
              <xm:f>Group1!B27:M27</xm:f>
              <xm:sqref>O27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Template2"/>
  <dimension ref="A1:S135"/>
  <sheetViews>
    <sheetView workbookViewId="0">
      <selection activeCell="N4" sqref="N4"/>
    </sheetView>
  </sheetViews>
  <sheetFormatPr defaultRowHeight="15" x14ac:dyDescent="0.25"/>
  <cols>
    <col min="1" max="1" width="14.140625" bestFit="1" customWidth="1"/>
    <col min="2" max="2" width="9.85546875" customWidth="1"/>
    <col min="3" max="3" width="11" customWidth="1"/>
    <col min="4" max="4" width="8.7109375" customWidth="1"/>
    <col min="5" max="8" width="7.7109375" bestFit="1" customWidth="1"/>
    <col min="9" max="9" width="9.28515625" customWidth="1"/>
    <col min="10" max="10" width="13" customWidth="1"/>
    <col min="11" max="11" width="10.28515625" customWidth="1"/>
    <col min="12" max="12" width="12.5703125" customWidth="1"/>
    <col min="13" max="13" width="12.28515625" customWidth="1"/>
    <col min="14" max="14" width="11.85546875" customWidth="1"/>
    <col min="15" max="15" width="13.85546875" customWidth="1"/>
    <col min="16" max="19" width="7.7109375" bestFit="1" customWidth="1"/>
  </cols>
  <sheetData>
    <row r="1" spans="1:19" ht="18.75" x14ac:dyDescent="0.3">
      <c r="A1" s="5" t="s">
        <v>3</v>
      </c>
    </row>
    <row r="3" spans="1:19" ht="18.75" x14ac:dyDescent="0.3">
      <c r="A3" s="4" t="str">
        <f>'Master Data'!B1</f>
        <v>Col1</v>
      </c>
    </row>
    <row r="4" spans="1:19" ht="30" customHeight="1" x14ac:dyDescent="0.25">
      <c r="A4" s="10" t="s">
        <v>43</v>
      </c>
      <c r="B4" s="10" t="s">
        <v>44</v>
      </c>
      <c r="C4" s="10" t="s">
        <v>1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  <c r="J4" s="10" t="s">
        <v>51</v>
      </c>
      <c r="K4" s="10" t="s">
        <v>52</v>
      </c>
      <c r="L4" s="10" t="s">
        <v>53</v>
      </c>
      <c r="M4" s="10" t="s">
        <v>54</v>
      </c>
      <c r="N4" s="9" t="s">
        <v>63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</row>
    <row r="5" spans="1:19" x14ac:dyDescent="0.25">
      <c r="A5" t="s">
        <v>23</v>
      </c>
      <c r="B5" s="14">
        <v>69.73</v>
      </c>
      <c r="C5" s="14">
        <v>69.73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>
        <f t="shared" ref="N5:N11" si="0">IFERROR(AVERAGE(B5:M14),"")</f>
        <v>60.393333333333331</v>
      </c>
      <c r="O5" s="25"/>
      <c r="P5" s="14">
        <f t="shared" ref="P5:P11" si="1">IFERROR(AVERAGE(B5:D14),"")</f>
        <v>60.393333333333331</v>
      </c>
      <c r="Q5" s="14" t="str">
        <f t="shared" ref="Q5:Q11" si="2">IFERROR(AVERAGE(E5:G14),"")</f>
        <v/>
      </c>
      <c r="R5" s="14" t="str">
        <f t="shared" ref="R5:R11" si="3">IFERROR(AVERAGE(H5:J14),"")</f>
        <v/>
      </c>
      <c r="S5" s="14" t="str">
        <f t="shared" ref="S5:S11" si="4">IFERROR(AVERAGE(K5:M14),"")</f>
        <v/>
      </c>
    </row>
    <row r="6" spans="1:19" x14ac:dyDescent="0.25">
      <c r="A6" t="s">
        <v>15</v>
      </c>
      <c r="B6" s="14">
        <v>29.17</v>
      </c>
      <c r="C6" s="14">
        <v>29.17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>
        <f t="shared" si="0"/>
        <v>59.355925925925931</v>
      </c>
      <c r="O6" s="26"/>
      <c r="P6" s="27">
        <f t="shared" si="1"/>
        <v>59.355925925925931</v>
      </c>
      <c r="Q6" s="14" t="str">
        <f t="shared" si="2"/>
        <v/>
      </c>
      <c r="R6" s="14" t="str">
        <f t="shared" si="3"/>
        <v/>
      </c>
      <c r="S6" s="14" t="str">
        <f t="shared" si="4"/>
        <v/>
      </c>
    </row>
    <row r="7" spans="1:19" x14ac:dyDescent="0.25">
      <c r="A7" t="s">
        <v>16</v>
      </c>
      <c r="B7" s="14">
        <v>7.02</v>
      </c>
      <c r="C7" s="14">
        <v>7.02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 t="shared" si="0"/>
        <v>63.12916666666667</v>
      </c>
      <c r="O7" s="26"/>
      <c r="P7" s="27">
        <f t="shared" si="1"/>
        <v>63.12916666666667</v>
      </c>
      <c r="Q7" s="14" t="str">
        <f t="shared" si="2"/>
        <v/>
      </c>
      <c r="R7" s="14" t="str">
        <f t="shared" si="3"/>
        <v/>
      </c>
      <c r="S7" s="14" t="str">
        <f t="shared" si="4"/>
        <v/>
      </c>
    </row>
    <row r="8" spans="1:19" x14ac:dyDescent="0.25">
      <c r="A8" t="s">
        <v>17</v>
      </c>
      <c r="B8" s="14">
        <v>119.28</v>
      </c>
      <c r="C8" s="14">
        <v>119.28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 t="shared" si="0"/>
        <v>71.144761904761907</v>
      </c>
      <c r="O8" s="26"/>
      <c r="P8" s="27">
        <f t="shared" si="1"/>
        <v>71.144761904761907</v>
      </c>
      <c r="Q8" s="14" t="str">
        <f t="shared" si="2"/>
        <v/>
      </c>
      <c r="R8" s="14" t="str">
        <f t="shared" si="3"/>
        <v/>
      </c>
      <c r="S8" s="14" t="str">
        <f t="shared" si="4"/>
        <v/>
      </c>
    </row>
    <row r="9" spans="1:19" x14ac:dyDescent="0.25">
      <c r="A9" t="s">
        <v>18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f t="shared" si="0"/>
        <v>63.122222222222213</v>
      </c>
      <c r="O9" s="26"/>
      <c r="P9" s="27">
        <f t="shared" si="1"/>
        <v>63.122222222222213</v>
      </c>
      <c r="Q9" s="14" t="str">
        <f t="shared" si="2"/>
        <v/>
      </c>
      <c r="R9" s="14" t="str">
        <f t="shared" si="3"/>
        <v/>
      </c>
      <c r="S9" s="14" t="str">
        <f t="shared" si="4"/>
        <v/>
      </c>
    </row>
    <row r="10" spans="1:19" ht="15" customHeight="1" x14ac:dyDescent="0.25">
      <c r="A10" t="s">
        <v>19</v>
      </c>
      <c r="B10" s="14">
        <v>47.86</v>
      </c>
      <c r="C10" s="14">
        <v>47.86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>
        <f t="shared" si="0"/>
        <v>63.122222222222213</v>
      </c>
      <c r="O10" s="26"/>
      <c r="P10" s="27">
        <f t="shared" si="1"/>
        <v>63.122222222222213</v>
      </c>
      <c r="Q10" s="14" t="str">
        <f t="shared" si="2"/>
        <v/>
      </c>
      <c r="R10" s="14" t="str">
        <f t="shared" si="3"/>
        <v/>
      </c>
      <c r="S10" s="14" t="str">
        <f t="shared" si="4"/>
        <v/>
      </c>
    </row>
    <row r="11" spans="1:19" x14ac:dyDescent="0.25">
      <c r="A11" t="s">
        <v>20</v>
      </c>
      <c r="B11" s="14">
        <v>68.53</v>
      </c>
      <c r="C11" s="14">
        <v>68.53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>
        <f t="shared" si="0"/>
        <v>72.093888888888884</v>
      </c>
      <c r="O11" s="26"/>
      <c r="P11" s="27">
        <f t="shared" si="1"/>
        <v>72.093888888888884</v>
      </c>
      <c r="Q11" s="14" t="str">
        <f t="shared" si="2"/>
        <v/>
      </c>
      <c r="R11" s="14" t="str">
        <f t="shared" si="3"/>
        <v/>
      </c>
      <c r="S11" s="14" t="str">
        <f t="shared" si="4"/>
        <v/>
      </c>
    </row>
    <row r="12" spans="1:19" x14ac:dyDescent="0.25">
      <c r="A12" t="s">
        <v>21</v>
      </c>
      <c r="B12" s="14">
        <v>104.52</v>
      </c>
      <c r="C12" s="14">
        <v>104.52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>IFERROR(AVERAGE(B12:M30),"")</f>
        <v>100.70309523809523</v>
      </c>
      <c r="O12" s="26"/>
      <c r="P12" s="27">
        <f>IFERROR(AVERAGE(B12:D30),"")</f>
        <v>100.70309523809523</v>
      </c>
      <c r="Q12" s="14" t="str">
        <f>IFERROR(AVERAGE(E12:G30),"")</f>
        <v/>
      </c>
      <c r="R12" s="14" t="str">
        <f>IFERROR(AVERAGE(H12:J30),"")</f>
        <v/>
      </c>
      <c r="S12" s="14" t="str">
        <f>IFERROR(AVERAGE(K12:M30),"")</f>
        <v/>
      </c>
    </row>
    <row r="13" spans="1:19" x14ac:dyDescent="0.25">
      <c r="A13" t="s">
        <v>22</v>
      </c>
      <c r="B13" s="14">
        <v>6.71</v>
      </c>
      <c r="C13" s="14">
        <v>6.71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>
        <f>IFERROR(AVERAGE(B13:M31),"")</f>
        <v>100.40948717948717</v>
      </c>
      <c r="O13" s="26"/>
      <c r="P13" s="27">
        <f>IFERROR(AVERAGE(B13:D31),"")</f>
        <v>100.40948717948717</v>
      </c>
      <c r="Q13" s="14" t="str">
        <f>IFERROR(AVERAGE(E13:G31),"")</f>
        <v/>
      </c>
      <c r="R13" s="14" t="str">
        <f>IFERROR(AVERAGE(H13:J31),"")</f>
        <v/>
      </c>
      <c r="S13" s="14" t="str">
        <f>IFERROR(AVERAGE(K13:M31),"")</f>
        <v/>
      </c>
    </row>
    <row r="14" spans="1:19" x14ac:dyDescent="0.25">
      <c r="A14" t="s">
        <v>23</v>
      </c>
      <c r="B14" s="14">
        <v>90.72</v>
      </c>
      <c r="C14" s="14">
        <v>90.72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f>IFERROR(AVERAGE(B14:M32),"")</f>
        <v>108.21777777777777</v>
      </c>
      <c r="O14" s="26"/>
      <c r="P14" s="27">
        <f>IFERROR(AVERAGE(B14:D32),"")</f>
        <v>108.21777777777777</v>
      </c>
      <c r="Q14" s="14" t="str">
        <f>IFERROR(AVERAGE(E14:G32),"")</f>
        <v/>
      </c>
      <c r="R14" s="14" t="str">
        <f>IFERROR(AVERAGE(H14:J32),"")</f>
        <v/>
      </c>
      <c r="S14" s="14" t="str">
        <f>IFERROR(AVERAGE(K14:M32),"")</f>
        <v/>
      </c>
    </row>
    <row r="15" spans="1:19" ht="17.25" x14ac:dyDescent="0.4">
      <c r="A15" s="28" t="s">
        <v>60</v>
      </c>
      <c r="B15" s="29">
        <f>IFERROR(SUBTOTAL(101,tblTemplate120[January]),"")</f>
        <v>60.393333333333331</v>
      </c>
      <c r="C15" s="29">
        <f>IFERROR(SUBTOTAL(101,tblTemplate120[February]),"")</f>
        <v>60.393333333333331</v>
      </c>
      <c r="D15" s="29" t="str">
        <f>IFERROR(SUBTOTAL(101,tblTemplate120[March]),"")</f>
        <v/>
      </c>
      <c r="E15" s="29" t="str">
        <f>IFERROR(SUBTOTAL(101,tblTemplate120[April]),"")</f>
        <v/>
      </c>
      <c r="F15" s="29" t="str">
        <f>IFERROR(SUBTOTAL(101,tblTemplate120[May]),"")</f>
        <v/>
      </c>
      <c r="G15" s="29" t="str">
        <f>IFERROR(SUBTOTAL(101,tblTemplate120[June]),"")</f>
        <v/>
      </c>
      <c r="H15" s="29" t="str">
        <f>IFERROR(SUBTOTAL(101,tblTemplate120[July]),"")</f>
        <v/>
      </c>
      <c r="I15" s="29" t="str">
        <f>IFERROR(SUBTOTAL(101,tblTemplate120[August]),"")</f>
        <v/>
      </c>
      <c r="J15" s="29" t="str">
        <f>IFERROR(SUBTOTAL(101,tblTemplate120[September]),"")</f>
        <v/>
      </c>
      <c r="K15" s="29" t="str">
        <f>IFERROR(SUBTOTAL(101,tblTemplate120[October]),"")</f>
        <v/>
      </c>
      <c r="L15" s="29" t="str">
        <f>IFERROR(SUBTOTAL(101,tblTemplate120[November]),"")</f>
        <v/>
      </c>
      <c r="M15" s="29" t="str">
        <f>IFERROR(SUBTOTAL(101,tblTemplate120[December]),"")</f>
        <v/>
      </c>
      <c r="N15" s="29">
        <f>IFERROR(SUBTOTAL(101,tblTemplate120[Average of Col1]),"")</f>
        <v>76.169188135938128</v>
      </c>
      <c r="O15" s="30"/>
      <c r="P15" s="29">
        <f>IFERROR(SUBTOTAL(101,tblTemplate120[Q1]),"")</f>
        <v>76.169188135938128</v>
      </c>
      <c r="Q15" s="29" t="str">
        <f>IFERROR(SUBTOTAL(101,tblTemplate120[Q2]),"")</f>
        <v/>
      </c>
      <c r="R15" s="29" t="str">
        <f>IFERROR(SUBTOTAL(101,tblTemplate120[Q3]),"")</f>
        <v/>
      </c>
      <c r="S15" s="29" t="str">
        <f>IFERROR(SUBTOTAL(101,tblTemplate120[Q4]),"")</f>
        <v/>
      </c>
    </row>
    <row r="16" spans="1:19" ht="15" customHeight="1" x14ac:dyDescent="0.25"/>
    <row r="18" spans="1:19" ht="18.75" x14ac:dyDescent="0.3">
      <c r="A18" s="4" t="str">
        <f>'Master Data'!C1</f>
        <v>Col2</v>
      </c>
    </row>
    <row r="19" spans="1:19" ht="30" customHeight="1" x14ac:dyDescent="0.25">
      <c r="A19" s="10" t="s">
        <v>43</v>
      </c>
      <c r="B19" s="10" t="s">
        <v>44</v>
      </c>
      <c r="C19" s="10" t="s">
        <v>1</v>
      </c>
      <c r="D19" s="10" t="s">
        <v>45</v>
      </c>
      <c r="E19" s="10" t="s">
        <v>46</v>
      </c>
      <c r="F19" s="10" t="s">
        <v>47</v>
      </c>
      <c r="G19" s="10" t="s">
        <v>48</v>
      </c>
      <c r="H19" s="10" t="s">
        <v>49</v>
      </c>
      <c r="I19" s="10" t="s">
        <v>50</v>
      </c>
      <c r="J19" s="10" t="s">
        <v>51</v>
      </c>
      <c r="K19" s="10" t="s">
        <v>52</v>
      </c>
      <c r="L19" s="10" t="s">
        <v>53</v>
      </c>
      <c r="M19" s="10" t="s">
        <v>54</v>
      </c>
      <c r="N19" s="9" t="s">
        <v>64</v>
      </c>
      <c r="O19" s="11" t="s">
        <v>55</v>
      </c>
      <c r="P19" s="11" t="s">
        <v>56</v>
      </c>
      <c r="Q19" s="11" t="s">
        <v>57</v>
      </c>
      <c r="R19" s="11" t="s">
        <v>58</v>
      </c>
      <c r="S19" s="11" t="s">
        <v>59</v>
      </c>
    </row>
    <row r="20" spans="1:19" x14ac:dyDescent="0.25">
      <c r="A20" t="s">
        <v>23</v>
      </c>
      <c r="B20" s="14">
        <v>101.69</v>
      </c>
      <c r="C20" s="14">
        <v>101.69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>
        <f t="shared" ref="N20:N26" si="5">IFERROR(AVERAGE(B20:M29),"")</f>
        <v>114.75</v>
      </c>
      <c r="O20" s="25"/>
      <c r="P20" s="14">
        <f t="shared" ref="P20:P26" si="6">IFERROR(AVERAGE(B20:D29),"")</f>
        <v>114.75</v>
      </c>
      <c r="Q20" s="14" t="str">
        <f t="shared" ref="Q20:Q26" si="7">IFERROR(AVERAGE(E20:G29),"")</f>
        <v/>
      </c>
      <c r="R20" s="14" t="str">
        <f t="shared" ref="R20:R26" si="8">IFERROR(AVERAGE(H20:J29),"")</f>
        <v/>
      </c>
      <c r="S20" s="14" t="str">
        <f t="shared" ref="S20:S26" si="9">IFERROR(AVERAGE(K20:M29),"")</f>
        <v/>
      </c>
    </row>
    <row r="21" spans="1:19" x14ac:dyDescent="0.25">
      <c r="A21" t="s">
        <v>15</v>
      </c>
      <c r="B21" s="14">
        <v>86.47</v>
      </c>
      <c r="C21" s="14">
        <v>86.47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f t="shared" si="5"/>
        <v>116.2011111111111</v>
      </c>
      <c r="O21" s="26"/>
      <c r="P21" s="27">
        <f t="shared" si="6"/>
        <v>116.2011111111111</v>
      </c>
      <c r="Q21" s="14" t="str">
        <f t="shared" si="7"/>
        <v/>
      </c>
      <c r="R21" s="14" t="str">
        <f t="shared" si="8"/>
        <v/>
      </c>
      <c r="S21" s="14" t="str">
        <f t="shared" si="9"/>
        <v/>
      </c>
    </row>
    <row r="22" spans="1:19" ht="15" customHeight="1" x14ac:dyDescent="0.25">
      <c r="A22" t="s">
        <v>16</v>
      </c>
      <c r="B22" s="14">
        <v>45.62</v>
      </c>
      <c r="C22" s="14">
        <v>45.62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>
        <f t="shared" si="5"/>
        <v>119.91749999999999</v>
      </c>
      <c r="O22" s="26"/>
      <c r="P22" s="27">
        <f t="shared" si="6"/>
        <v>119.91749999999999</v>
      </c>
      <c r="Q22" s="14" t="str">
        <f t="shared" si="7"/>
        <v/>
      </c>
      <c r="R22" s="14" t="str">
        <f t="shared" si="8"/>
        <v/>
      </c>
      <c r="S22" s="14" t="str">
        <f t="shared" si="9"/>
        <v/>
      </c>
    </row>
    <row r="23" spans="1:19" x14ac:dyDescent="0.25">
      <c r="A23" t="s">
        <v>17</v>
      </c>
      <c r="B23" s="14">
        <v>128.75</v>
      </c>
      <c r="C23" s="14">
        <v>128.75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>
        <f t="shared" si="5"/>
        <v>130.53142857142856</v>
      </c>
      <c r="O23" s="26"/>
      <c r="P23" s="27">
        <f t="shared" si="6"/>
        <v>130.53142857142856</v>
      </c>
      <c r="Q23" s="14" t="str">
        <f t="shared" si="7"/>
        <v/>
      </c>
      <c r="R23" s="14" t="str">
        <f t="shared" si="8"/>
        <v/>
      </c>
      <c r="S23" s="14" t="str">
        <f t="shared" si="9"/>
        <v/>
      </c>
    </row>
    <row r="24" spans="1:19" x14ac:dyDescent="0.25">
      <c r="A24" t="s">
        <v>18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>
        <f t="shared" si="5"/>
        <v>130.82833333333335</v>
      </c>
      <c r="O24" s="26"/>
      <c r="P24" s="27">
        <f t="shared" si="6"/>
        <v>130.82833333333335</v>
      </c>
      <c r="Q24" s="14" t="str">
        <f t="shared" si="7"/>
        <v/>
      </c>
      <c r="R24" s="14" t="str">
        <f t="shared" si="8"/>
        <v/>
      </c>
      <c r="S24" s="14" t="str">
        <f t="shared" si="9"/>
        <v/>
      </c>
    </row>
    <row r="25" spans="1:19" x14ac:dyDescent="0.25">
      <c r="A25" t="s">
        <v>19</v>
      </c>
      <c r="B25" s="14">
        <v>102.5</v>
      </c>
      <c r="C25" s="14">
        <v>102.5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>
        <f t="shared" si="5"/>
        <v>130.82833333333335</v>
      </c>
      <c r="O25" s="26"/>
      <c r="P25" s="27">
        <f t="shared" si="6"/>
        <v>130.82833333333335</v>
      </c>
      <c r="Q25" s="14" t="str">
        <f t="shared" si="7"/>
        <v/>
      </c>
      <c r="R25" s="14" t="str">
        <f t="shared" si="8"/>
        <v/>
      </c>
      <c r="S25" s="14" t="str">
        <f t="shared" si="9"/>
        <v/>
      </c>
    </row>
    <row r="26" spans="1:19" x14ac:dyDescent="0.25">
      <c r="A26" t="s">
        <v>20</v>
      </c>
      <c r="B26" s="14">
        <v>140.07</v>
      </c>
      <c r="C26" s="14">
        <v>140.07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>
        <f t="shared" si="5"/>
        <v>113.90166666666669</v>
      </c>
      <c r="O26" s="26"/>
      <c r="P26" s="27">
        <f t="shared" si="6"/>
        <v>113.90166666666669</v>
      </c>
      <c r="Q26" s="14" t="str">
        <f t="shared" si="7"/>
        <v/>
      </c>
      <c r="R26" s="14" t="str">
        <f t="shared" si="8"/>
        <v/>
      </c>
      <c r="S26" s="14" t="str">
        <f t="shared" si="9"/>
        <v/>
      </c>
    </row>
    <row r="27" spans="1:19" x14ac:dyDescent="0.25">
      <c r="A27" t="s">
        <v>21</v>
      </c>
      <c r="B27" s="14">
        <v>165.16</v>
      </c>
      <c r="C27" s="14">
        <v>165.16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>
        <f>IFERROR(AVERAGE(B27:M45),"")</f>
        <v>39.211904761904769</v>
      </c>
      <c r="O27" s="26"/>
      <c r="P27" s="27">
        <f>IFERROR(AVERAGE(B27:D45),"")</f>
        <v>39.211904761904769</v>
      </c>
      <c r="Q27" s="14" t="str">
        <f>IFERROR(AVERAGE(E27:G45),"")</f>
        <v/>
      </c>
      <c r="R27" s="14" t="str">
        <f>IFERROR(AVERAGE(H27:J45),"")</f>
        <v/>
      </c>
      <c r="S27" s="14" t="str">
        <f>IFERROR(AVERAGE(K27:M45),"")</f>
        <v/>
      </c>
    </row>
    <row r="28" spans="1:19" ht="15" customHeight="1" x14ac:dyDescent="0.25">
      <c r="A28" t="s">
        <v>22</v>
      </c>
      <c r="B28" s="14">
        <v>120</v>
      </c>
      <c r="C28" s="14">
        <v>120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>
        <f>IFERROR(AVERAGE(B28:M46),"")</f>
        <v>29.523589743589739</v>
      </c>
      <c r="O28" s="26"/>
      <c r="P28" s="27">
        <f>IFERROR(AVERAGE(B28:D46),"")</f>
        <v>29.523589743589739</v>
      </c>
      <c r="Q28" s="14" t="str">
        <f>IFERROR(AVERAGE(E28:G46),"")</f>
        <v/>
      </c>
      <c r="R28" s="14" t="str">
        <f>IFERROR(AVERAGE(H28:J46),"")</f>
        <v/>
      </c>
      <c r="S28" s="14" t="str">
        <f>IFERROR(AVERAGE(K28:M46),"")</f>
        <v/>
      </c>
    </row>
    <row r="29" spans="1:19" x14ac:dyDescent="0.25">
      <c r="A29" t="s">
        <v>23</v>
      </c>
      <c r="B29" s="14">
        <v>142.49</v>
      </c>
      <c r="C29" s="14">
        <v>142.49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>
        <f>IFERROR(AVERAGE(B29:M47),"")</f>
        <v>21.983888888888885</v>
      </c>
      <c r="O29" s="26"/>
      <c r="P29" s="27">
        <f>IFERROR(AVERAGE(B29:D47),"")</f>
        <v>21.983888888888885</v>
      </c>
      <c r="Q29" s="14" t="str">
        <f>IFERROR(AVERAGE(E29:G47),"")</f>
        <v/>
      </c>
      <c r="R29" s="14" t="str">
        <f>IFERROR(AVERAGE(H29:J47),"")</f>
        <v/>
      </c>
      <c r="S29" s="14" t="str">
        <f>IFERROR(AVERAGE(K29:M47),"")</f>
        <v/>
      </c>
    </row>
    <row r="30" spans="1:19" ht="17.25" x14ac:dyDescent="0.4">
      <c r="A30" s="28" t="s">
        <v>60</v>
      </c>
      <c r="B30" s="29">
        <f>IFERROR(SUBTOTAL(101,tblTemplate221[January]),"")</f>
        <v>114.75</v>
      </c>
      <c r="C30" s="29">
        <f>IFERROR(SUBTOTAL(101,tblTemplate221[February]),"")</f>
        <v>114.75</v>
      </c>
      <c r="D30" s="29" t="str">
        <f>IFERROR(SUBTOTAL(101,tblTemplate221[March]),"")</f>
        <v/>
      </c>
      <c r="E30" s="29" t="str">
        <f>IFERROR(SUBTOTAL(101,tblTemplate221[April]),"")</f>
        <v/>
      </c>
      <c r="F30" s="29" t="str">
        <f>IFERROR(SUBTOTAL(101,tblTemplate221[May]),"")</f>
        <v/>
      </c>
      <c r="G30" s="29" t="str">
        <f>IFERROR(SUBTOTAL(101,tblTemplate221[June]),"")</f>
        <v/>
      </c>
      <c r="H30" s="29" t="str">
        <f>IFERROR(SUBTOTAL(101,tblTemplate221[July]),"")</f>
        <v/>
      </c>
      <c r="I30" s="29" t="str">
        <f>IFERROR(SUBTOTAL(101,tblTemplate221[August]),"")</f>
        <v/>
      </c>
      <c r="J30" s="29" t="str">
        <f>IFERROR(SUBTOTAL(101,tblTemplate221[September]),"")</f>
        <v/>
      </c>
      <c r="K30" s="29" t="str">
        <f>IFERROR(SUBTOTAL(101,tblTemplate221[October]),"")</f>
        <v/>
      </c>
      <c r="L30" s="29" t="str">
        <f>IFERROR(SUBTOTAL(101,tblTemplate221[November]),"")</f>
        <v/>
      </c>
      <c r="M30" s="29" t="str">
        <f>IFERROR(SUBTOTAL(101,tblTemplate221[December]),"")</f>
        <v/>
      </c>
      <c r="N30" s="29">
        <f>IFERROR(SUBTOTAL(101,tblTemplate221[Average of Col2]),"")</f>
        <v>94.767775641025651</v>
      </c>
      <c r="O30" s="30"/>
      <c r="P30" s="29">
        <f>IFERROR(SUBTOTAL(101,tblTemplate221[Q1]),"")</f>
        <v>94.767775641025651</v>
      </c>
      <c r="Q30" s="29" t="str">
        <f>IFERROR(SUBTOTAL(101,tblTemplate221[Q2]),"")</f>
        <v/>
      </c>
      <c r="R30" s="29" t="str">
        <f>IFERROR(SUBTOTAL(101,tblTemplate221[Q3]),"")</f>
        <v/>
      </c>
      <c r="S30" s="29" t="str">
        <f>IFERROR(SUBTOTAL(101,tblTemplate221[Q4]),"")</f>
        <v/>
      </c>
    </row>
    <row r="33" spans="1:19" ht="18.75" x14ac:dyDescent="0.3">
      <c r="A33" s="4" t="str">
        <f>'Master Data'!D1</f>
        <v>Col3</v>
      </c>
    </row>
    <row r="34" spans="1:19" ht="30" customHeight="1" x14ac:dyDescent="0.25">
      <c r="A34" s="10" t="s">
        <v>43</v>
      </c>
      <c r="B34" s="10" t="s">
        <v>44</v>
      </c>
      <c r="C34" s="10" t="s">
        <v>1</v>
      </c>
      <c r="D34" s="10" t="s">
        <v>45</v>
      </c>
      <c r="E34" s="10" t="s">
        <v>46</v>
      </c>
      <c r="F34" s="10" t="s">
        <v>47</v>
      </c>
      <c r="G34" s="10" t="s">
        <v>48</v>
      </c>
      <c r="H34" s="10" t="s">
        <v>49</v>
      </c>
      <c r="I34" s="10" t="s">
        <v>50</v>
      </c>
      <c r="J34" s="10" t="s">
        <v>51</v>
      </c>
      <c r="K34" s="10" t="s">
        <v>52</v>
      </c>
      <c r="L34" s="10" t="s">
        <v>53</v>
      </c>
      <c r="M34" s="10" t="s">
        <v>54</v>
      </c>
      <c r="N34" s="9" t="s">
        <v>65</v>
      </c>
      <c r="O34" s="11" t="s">
        <v>55</v>
      </c>
      <c r="P34" s="11" t="s">
        <v>56</v>
      </c>
      <c r="Q34" s="11" t="s">
        <v>57</v>
      </c>
      <c r="R34" s="11" t="s">
        <v>58</v>
      </c>
      <c r="S34" s="11" t="s">
        <v>59</v>
      </c>
    </row>
    <row r="35" spans="1:19" x14ac:dyDescent="0.25">
      <c r="A35" t="s">
        <v>23</v>
      </c>
      <c r="B35" s="14">
        <v>0.94</v>
      </c>
      <c r="C35" s="14">
        <v>0.94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>
        <f t="shared" ref="N35:N41" si="10">IFERROR(AVERAGE(B35:M44),"")</f>
        <v>0.6566666666666664</v>
      </c>
      <c r="O35" s="25"/>
      <c r="P35" s="14">
        <f t="shared" ref="P35:P41" si="11">IFERROR(AVERAGE(B35:D44),"")</f>
        <v>0.6566666666666664</v>
      </c>
      <c r="Q35" s="14" t="str">
        <f t="shared" ref="Q35:Q41" si="12">IFERROR(AVERAGE(E35:G44),"")</f>
        <v/>
      </c>
      <c r="R35" s="14" t="str">
        <f t="shared" ref="R35:R41" si="13">IFERROR(AVERAGE(H35:J44),"")</f>
        <v/>
      </c>
      <c r="S35" s="14" t="str">
        <f t="shared" ref="S35:S41" si="14">IFERROR(AVERAGE(K35:M44),"")</f>
        <v/>
      </c>
    </row>
    <row r="36" spans="1:19" x14ac:dyDescent="0.25">
      <c r="A36" t="s">
        <v>15</v>
      </c>
      <c r="B36" s="14">
        <v>0.55000000000000004</v>
      </c>
      <c r="C36" s="14">
        <v>0.55000000000000004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>
        <f t="shared" si="10"/>
        <v>0.62518518518518507</v>
      </c>
      <c r="O36" s="26"/>
      <c r="P36" s="27">
        <f t="shared" si="11"/>
        <v>0.62518518518518507</v>
      </c>
      <c r="Q36" s="14" t="str">
        <f t="shared" si="12"/>
        <v/>
      </c>
      <c r="R36" s="14" t="str">
        <f t="shared" si="13"/>
        <v/>
      </c>
      <c r="S36" s="14" t="str">
        <f t="shared" si="14"/>
        <v/>
      </c>
    </row>
    <row r="37" spans="1:19" x14ac:dyDescent="0.25">
      <c r="A37" t="s">
        <v>16</v>
      </c>
      <c r="B37" s="14">
        <v>0.42</v>
      </c>
      <c r="C37" s="14">
        <v>0.42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>
        <f t="shared" si="10"/>
        <v>0.63458333333333328</v>
      </c>
      <c r="O37" s="26"/>
      <c r="P37" s="27">
        <f t="shared" si="11"/>
        <v>0.63458333333333328</v>
      </c>
      <c r="Q37" s="14" t="str">
        <f t="shared" si="12"/>
        <v/>
      </c>
      <c r="R37" s="14" t="str">
        <f t="shared" si="13"/>
        <v/>
      </c>
      <c r="S37" s="14" t="str">
        <f t="shared" si="14"/>
        <v/>
      </c>
    </row>
    <row r="38" spans="1:19" x14ac:dyDescent="0.25">
      <c r="A38" t="s">
        <v>17</v>
      </c>
      <c r="B38" s="14">
        <v>0.89</v>
      </c>
      <c r="C38" s="14">
        <v>0.89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>
        <f t="shared" si="10"/>
        <v>0.66523809523809518</v>
      </c>
      <c r="O38" s="26"/>
      <c r="P38" s="27">
        <f t="shared" si="11"/>
        <v>0.66523809523809518</v>
      </c>
      <c r="Q38" s="14" t="str">
        <f t="shared" si="12"/>
        <v/>
      </c>
      <c r="R38" s="14" t="str">
        <f t="shared" si="13"/>
        <v/>
      </c>
      <c r="S38" s="14" t="str">
        <f t="shared" si="14"/>
        <v/>
      </c>
    </row>
    <row r="39" spans="1:19" x14ac:dyDescent="0.25">
      <c r="A39" t="s">
        <v>18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>
        <f t="shared" si="10"/>
        <v>0.62777777777777777</v>
      </c>
      <c r="O39" s="26"/>
      <c r="P39" s="27">
        <f t="shared" si="11"/>
        <v>0.62777777777777777</v>
      </c>
      <c r="Q39" s="14" t="str">
        <f t="shared" si="12"/>
        <v/>
      </c>
      <c r="R39" s="14" t="str">
        <f t="shared" si="13"/>
        <v/>
      </c>
      <c r="S39" s="14" t="str">
        <f t="shared" si="14"/>
        <v/>
      </c>
    </row>
    <row r="40" spans="1:19" ht="15" customHeight="1" x14ac:dyDescent="0.25">
      <c r="A40" t="s">
        <v>19</v>
      </c>
      <c r="B40" s="14">
        <v>0.51</v>
      </c>
      <c r="C40" s="14">
        <v>0.51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>
        <f t="shared" si="10"/>
        <v>0.62777777777777777</v>
      </c>
      <c r="O40" s="26"/>
      <c r="P40" s="27">
        <f t="shared" si="11"/>
        <v>0.62777777777777777</v>
      </c>
      <c r="Q40" s="14" t="str">
        <f t="shared" si="12"/>
        <v/>
      </c>
      <c r="R40" s="14" t="str">
        <f t="shared" si="13"/>
        <v/>
      </c>
      <c r="S40" s="14" t="str">
        <f t="shared" si="14"/>
        <v/>
      </c>
    </row>
    <row r="41" spans="1:19" x14ac:dyDescent="0.25">
      <c r="A41" t="s">
        <v>20</v>
      </c>
      <c r="B41" s="14">
        <v>0.67</v>
      </c>
      <c r="C41" s="14">
        <v>0.67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>
        <f t="shared" si="10"/>
        <v>0.66432777777777785</v>
      </c>
      <c r="O41" s="26"/>
      <c r="P41" s="27">
        <f t="shared" si="11"/>
        <v>0.66432777777777785</v>
      </c>
      <c r="Q41" s="14" t="str">
        <f t="shared" si="12"/>
        <v/>
      </c>
      <c r="R41" s="14" t="str">
        <f t="shared" si="13"/>
        <v/>
      </c>
      <c r="S41" s="14" t="str">
        <f t="shared" si="14"/>
        <v/>
      </c>
    </row>
    <row r="42" spans="1:19" x14ac:dyDescent="0.25">
      <c r="A42" t="s">
        <v>21</v>
      </c>
      <c r="B42" s="14">
        <v>0.87</v>
      </c>
      <c r="C42" s="14">
        <v>0.87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>
        <f>IFERROR(AVERAGE(B42:M60),"")</f>
        <v>0.6766904761904764</v>
      </c>
      <c r="O42" s="26"/>
      <c r="P42" s="27">
        <f>IFERROR(AVERAGE(B42:D60),"")</f>
        <v>0.6766904761904764</v>
      </c>
      <c r="Q42" s="14" t="str">
        <f>IFERROR(AVERAGE(E42:G60),"")</f>
        <v/>
      </c>
      <c r="R42" s="14" t="str">
        <f>IFERROR(AVERAGE(H42:J60),"")</f>
        <v/>
      </c>
      <c r="S42" s="14" t="str">
        <f>IFERROR(AVERAGE(K42:M60),"")</f>
        <v/>
      </c>
    </row>
    <row r="43" spans="1:19" x14ac:dyDescent="0.25">
      <c r="A43" t="s">
        <v>22</v>
      </c>
      <c r="B43" s="14">
        <v>0.36</v>
      </c>
      <c r="C43" s="14">
        <v>0.36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>
        <f>IFERROR(AVERAGE(B43:M61),"")</f>
        <v>0.66182051282051291</v>
      </c>
      <c r="O43" s="26"/>
      <c r="P43" s="27">
        <f>IFERROR(AVERAGE(B43:D61),"")</f>
        <v>0.66182051282051291</v>
      </c>
      <c r="Q43" s="14" t="str">
        <f>IFERROR(AVERAGE(E43:G61),"")</f>
        <v/>
      </c>
      <c r="R43" s="14" t="str">
        <f>IFERROR(AVERAGE(H43:J61),"")</f>
        <v/>
      </c>
      <c r="S43" s="14" t="str">
        <f>IFERROR(AVERAGE(K43:M61),"")</f>
        <v/>
      </c>
    </row>
    <row r="44" spans="1:19" x14ac:dyDescent="0.25">
      <c r="A44" t="s">
        <v>23</v>
      </c>
      <c r="B44" s="14">
        <v>0.7</v>
      </c>
      <c r="C44" s="14">
        <v>0.7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>
        <f>IFERROR(AVERAGE(B44:M62),"")</f>
        <v>0.68697222222222221</v>
      </c>
      <c r="O44" s="26"/>
      <c r="P44" s="27">
        <f>IFERROR(AVERAGE(B44:D62),"")</f>
        <v>0.68697222222222221</v>
      </c>
      <c r="Q44" s="14" t="str">
        <f>IFERROR(AVERAGE(E44:G62),"")</f>
        <v/>
      </c>
      <c r="R44" s="14" t="str">
        <f>IFERROR(AVERAGE(H44:J62),"")</f>
        <v/>
      </c>
      <c r="S44" s="14" t="str">
        <f>IFERROR(AVERAGE(K44:M62),"")</f>
        <v/>
      </c>
    </row>
    <row r="45" spans="1:19" ht="17.25" x14ac:dyDescent="0.4">
      <c r="A45" s="28" t="s">
        <v>60</v>
      </c>
      <c r="B45" s="29">
        <f>IFERROR(SUBTOTAL(101,tblTemplate322[January]),"")</f>
        <v>0.65666666666666673</v>
      </c>
      <c r="C45" s="29">
        <f>IFERROR(SUBTOTAL(101,tblTemplate322[February]),"")</f>
        <v>0.65666666666666673</v>
      </c>
      <c r="D45" s="29" t="str">
        <f>IFERROR(SUBTOTAL(101,tblTemplate322[March]),"")</f>
        <v/>
      </c>
      <c r="E45" s="29" t="str">
        <f>IFERROR(SUBTOTAL(101,tblTemplate322[April]),"")</f>
        <v/>
      </c>
      <c r="F45" s="29" t="str">
        <f>IFERROR(SUBTOTAL(101,tblTemplate322[May]),"")</f>
        <v/>
      </c>
      <c r="G45" s="29" t="str">
        <f>IFERROR(SUBTOTAL(101,tblTemplate322[June]),"")</f>
        <v/>
      </c>
      <c r="H45" s="29" t="str">
        <f>IFERROR(SUBTOTAL(101,tblTemplate322[July]),"")</f>
        <v/>
      </c>
      <c r="I45" s="29" t="str">
        <f>IFERROR(SUBTOTAL(101,tblTemplate322[August]),"")</f>
        <v/>
      </c>
      <c r="J45" s="29" t="str">
        <f>IFERROR(SUBTOTAL(101,tblTemplate322[September]),"")</f>
        <v/>
      </c>
      <c r="K45" s="29" t="str">
        <f>IFERROR(SUBTOTAL(101,tblTemplate322[October]),"")</f>
        <v/>
      </c>
      <c r="L45" s="29" t="str">
        <f>IFERROR(SUBTOTAL(101,tblTemplate322[November]),"")</f>
        <v/>
      </c>
      <c r="M45" s="29" t="str">
        <f>IFERROR(SUBTOTAL(101,tblTemplate322[December]),"")</f>
        <v/>
      </c>
      <c r="N45" s="29">
        <f>IFERROR(SUBTOTAL(101,tblTemplate322[Average of Col3]),"")</f>
        <v>0.65270398249898232</v>
      </c>
      <c r="O45" s="30"/>
      <c r="P45" s="29">
        <f>IFERROR(SUBTOTAL(101,tblTemplate322[Q1]),"")</f>
        <v>0.65270398249898232</v>
      </c>
      <c r="Q45" s="29" t="str">
        <f>IFERROR(SUBTOTAL(101,tblTemplate322[Q2]),"")</f>
        <v/>
      </c>
      <c r="R45" s="29" t="str">
        <f>IFERROR(SUBTOTAL(101,tblTemplate322[Q3]),"")</f>
        <v/>
      </c>
      <c r="S45" s="29" t="str">
        <f>IFERROR(SUBTOTAL(101,tblTemplate322[Q4]),"")</f>
        <v/>
      </c>
    </row>
    <row r="46" spans="1:19" ht="15" customHeight="1" x14ac:dyDescent="0.25"/>
    <row r="48" spans="1:19" ht="18.75" x14ac:dyDescent="0.3">
      <c r="A48" s="4" t="str">
        <f>'Master Data'!E1</f>
        <v>Col4</v>
      </c>
    </row>
    <row r="49" spans="1:19" ht="30" customHeight="1" x14ac:dyDescent="0.25">
      <c r="A49" s="10" t="s">
        <v>43</v>
      </c>
      <c r="B49" s="10" t="s">
        <v>44</v>
      </c>
      <c r="C49" s="10" t="s">
        <v>1</v>
      </c>
      <c r="D49" s="10" t="s">
        <v>45</v>
      </c>
      <c r="E49" s="10" t="s">
        <v>46</v>
      </c>
      <c r="F49" s="10" t="s">
        <v>47</v>
      </c>
      <c r="G49" s="10" t="s">
        <v>48</v>
      </c>
      <c r="H49" s="10" t="s">
        <v>49</v>
      </c>
      <c r="I49" s="10" t="s">
        <v>50</v>
      </c>
      <c r="J49" s="10" t="s">
        <v>51</v>
      </c>
      <c r="K49" s="10" t="s">
        <v>52</v>
      </c>
      <c r="L49" s="10" t="s">
        <v>53</v>
      </c>
      <c r="M49" s="10" t="s">
        <v>54</v>
      </c>
      <c r="N49" s="9" t="s">
        <v>66</v>
      </c>
      <c r="O49" s="11" t="s">
        <v>55</v>
      </c>
      <c r="P49" s="11" t="s">
        <v>56</v>
      </c>
      <c r="Q49" s="11" t="s">
        <v>57</v>
      </c>
      <c r="R49" s="11" t="s">
        <v>58</v>
      </c>
      <c r="S49" s="11" t="s">
        <v>59</v>
      </c>
    </row>
    <row r="50" spans="1:19" x14ac:dyDescent="0.25">
      <c r="A50" t="s">
        <v>23</v>
      </c>
      <c r="B50" s="1">
        <v>0.72929999999999995</v>
      </c>
      <c r="C50" s="1">
        <v>0.72929999999999995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20">
        <f t="shared" ref="N50:N56" si="15">IFERROR(AVERAGE(B50:M59),"")</f>
        <v>0.68869999999999998</v>
      </c>
      <c r="O50" s="25"/>
      <c r="P50" s="22">
        <f t="shared" ref="P50:P56" si="16">IFERROR(AVERAGE(B50:D59),"")</f>
        <v>0.68869999999999998</v>
      </c>
      <c r="Q50" s="22" t="str">
        <f t="shared" ref="Q50:Q56" si="17">IFERROR(AVERAGE(E50:G59),"")</f>
        <v/>
      </c>
      <c r="R50" s="22" t="str">
        <f t="shared" ref="R50:R56" si="18">IFERROR(AVERAGE(H50:J59),"")</f>
        <v/>
      </c>
      <c r="S50" s="22" t="str">
        <f t="shared" ref="S50:S56" si="19">IFERROR(AVERAGE(K50:M59),"")</f>
        <v/>
      </c>
    </row>
    <row r="51" spans="1:19" x14ac:dyDescent="0.25">
      <c r="A51" t="s">
        <v>15</v>
      </c>
      <c r="B51" s="1">
        <v>0.61250000000000004</v>
      </c>
      <c r="C51" s="1">
        <v>0.61250000000000004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20">
        <f t="shared" si="15"/>
        <v>0.68418888888888896</v>
      </c>
      <c r="O51" s="26"/>
      <c r="P51" s="31">
        <f t="shared" si="16"/>
        <v>0.68418888888888896</v>
      </c>
      <c r="Q51" s="22" t="str">
        <f t="shared" si="17"/>
        <v/>
      </c>
      <c r="R51" s="22" t="str">
        <f t="shared" si="18"/>
        <v/>
      </c>
      <c r="S51" s="22" t="str">
        <f t="shared" si="19"/>
        <v/>
      </c>
    </row>
    <row r="52" spans="1:19" ht="15" customHeight="1" x14ac:dyDescent="0.25">
      <c r="A52" t="s">
        <v>16</v>
      </c>
      <c r="B52" s="1">
        <v>0.36670000000000003</v>
      </c>
      <c r="C52" s="1">
        <v>0.36670000000000003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20">
        <f t="shared" si="15"/>
        <v>0.69314999999999993</v>
      </c>
      <c r="O52" s="26"/>
      <c r="P52" s="31">
        <f t="shared" si="16"/>
        <v>0.69314999999999993</v>
      </c>
      <c r="Q52" s="22" t="str">
        <f t="shared" si="17"/>
        <v/>
      </c>
      <c r="R52" s="22" t="str">
        <f t="shared" si="18"/>
        <v/>
      </c>
      <c r="S52" s="22" t="str">
        <f t="shared" si="19"/>
        <v/>
      </c>
    </row>
    <row r="53" spans="1:19" x14ac:dyDescent="0.25">
      <c r="A53" t="s">
        <v>17</v>
      </c>
      <c r="B53" s="1">
        <v>1.0439000000000001</v>
      </c>
      <c r="C53" s="1">
        <v>1.0439000000000001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20">
        <f t="shared" si="15"/>
        <v>0.73978571428571427</v>
      </c>
      <c r="O53" s="26"/>
      <c r="P53" s="31">
        <f t="shared" si="16"/>
        <v>0.73978571428571427</v>
      </c>
      <c r="Q53" s="22" t="str">
        <f t="shared" si="17"/>
        <v/>
      </c>
      <c r="R53" s="22" t="str">
        <f t="shared" si="18"/>
        <v/>
      </c>
      <c r="S53" s="22" t="str">
        <f t="shared" si="19"/>
        <v/>
      </c>
    </row>
    <row r="54" spans="1:19" x14ac:dyDescent="0.25">
      <c r="A54" t="s">
        <v>18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0">
        <f t="shared" si="15"/>
        <v>0.68909999999999993</v>
      </c>
      <c r="O54" s="26"/>
      <c r="P54" s="31">
        <f t="shared" si="16"/>
        <v>0.68909999999999993</v>
      </c>
      <c r="Q54" s="22" t="str">
        <f t="shared" si="17"/>
        <v/>
      </c>
      <c r="R54" s="22" t="str">
        <f t="shared" si="18"/>
        <v/>
      </c>
      <c r="S54" s="22" t="str">
        <f t="shared" si="19"/>
        <v/>
      </c>
    </row>
    <row r="55" spans="1:19" x14ac:dyDescent="0.25">
      <c r="A55" t="s">
        <v>19</v>
      </c>
      <c r="B55" s="1">
        <v>0.92059999999999997</v>
      </c>
      <c r="C55" s="1">
        <v>0.92059999999999997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20">
        <f t="shared" si="15"/>
        <v>0.68909999999999993</v>
      </c>
      <c r="O55" s="26"/>
      <c r="P55" s="31">
        <f t="shared" si="16"/>
        <v>0.68909999999999993</v>
      </c>
      <c r="Q55" s="22" t="str">
        <f t="shared" si="17"/>
        <v/>
      </c>
      <c r="R55" s="22" t="str">
        <f t="shared" si="18"/>
        <v/>
      </c>
      <c r="S55" s="22" t="str">
        <f t="shared" si="19"/>
        <v/>
      </c>
    </row>
    <row r="56" spans="1:19" x14ac:dyDescent="0.25">
      <c r="A56" t="s">
        <v>20</v>
      </c>
      <c r="B56" s="1">
        <v>0.73299999999999998</v>
      </c>
      <c r="C56" s="1">
        <v>0.73299999999999998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20">
        <f t="shared" si="15"/>
        <v>0.67525000000000002</v>
      </c>
      <c r="O56" s="26"/>
      <c r="P56" s="31">
        <f t="shared" si="16"/>
        <v>0.67525000000000002</v>
      </c>
      <c r="Q56" s="22" t="str">
        <f t="shared" si="17"/>
        <v/>
      </c>
      <c r="R56" s="22" t="str">
        <f t="shared" si="18"/>
        <v/>
      </c>
      <c r="S56" s="22" t="str">
        <f t="shared" si="19"/>
        <v/>
      </c>
    </row>
    <row r="57" spans="1:19" x14ac:dyDescent="0.25">
      <c r="A57" t="s">
        <v>21</v>
      </c>
      <c r="B57" s="1">
        <v>0.73050000000000004</v>
      </c>
      <c r="C57" s="1">
        <v>0.73050000000000004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20">
        <f>IFERROR(AVERAGE(B57:M75),"")</f>
        <v>0.70783333333333343</v>
      </c>
      <c r="O57" s="26"/>
      <c r="P57" s="31">
        <f>IFERROR(AVERAGE(B57:D75),"")</f>
        <v>0.70783333333333343</v>
      </c>
      <c r="Q57" s="22" t="str">
        <f>IFERROR(AVERAGE(E57:G75),"")</f>
        <v/>
      </c>
      <c r="R57" s="22" t="str">
        <f>IFERROR(AVERAGE(H57:J75),"")</f>
        <v/>
      </c>
      <c r="S57" s="22" t="str">
        <f>IFERROR(AVERAGE(K57:M75),"")</f>
        <v/>
      </c>
    </row>
    <row r="58" spans="1:19" x14ac:dyDescent="0.25">
      <c r="A58" t="s">
        <v>22</v>
      </c>
      <c r="B58" s="1">
        <v>0.1537</v>
      </c>
      <c r="C58" s="1">
        <v>0.1537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20">
        <f>IFERROR(AVERAGE(B58:M76),"")</f>
        <v>0.70608974358974363</v>
      </c>
      <c r="O58" s="26"/>
      <c r="P58" s="31">
        <f>IFERROR(AVERAGE(B58:D76),"")</f>
        <v>0.70608974358974363</v>
      </c>
      <c r="Q58" s="22" t="str">
        <f>IFERROR(AVERAGE(E58:G76),"")</f>
        <v/>
      </c>
      <c r="R58" s="22" t="str">
        <f>IFERROR(AVERAGE(H58:J76),"")</f>
        <v/>
      </c>
      <c r="S58" s="22" t="str">
        <f>IFERROR(AVERAGE(K58:M76),"")</f>
        <v/>
      </c>
    </row>
    <row r="59" spans="1:19" x14ac:dyDescent="0.25">
      <c r="A59" t="s">
        <v>23</v>
      </c>
      <c r="B59" s="1">
        <v>0.90810000000000002</v>
      </c>
      <c r="C59" s="1">
        <v>0.90810000000000002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20">
        <f>IFERROR(AVERAGE(B59:M77),"")</f>
        <v>0.75212222222222247</v>
      </c>
      <c r="O59" s="26"/>
      <c r="P59" s="31">
        <f>IFERROR(AVERAGE(B59:D77),"")</f>
        <v>0.75212222222222247</v>
      </c>
      <c r="Q59" s="22" t="str">
        <f>IFERROR(AVERAGE(E59:G77),"")</f>
        <v/>
      </c>
      <c r="R59" s="22" t="str">
        <f>IFERROR(AVERAGE(H59:J77),"")</f>
        <v/>
      </c>
      <c r="S59" s="22" t="str">
        <f>IFERROR(AVERAGE(K59:M77),"")</f>
        <v/>
      </c>
    </row>
    <row r="60" spans="1:19" ht="17.25" x14ac:dyDescent="0.4">
      <c r="A60" s="28" t="s">
        <v>60</v>
      </c>
      <c r="B60" s="32">
        <f>IFERROR(SUBTOTAL(101,tblTemplate423[January]),"")</f>
        <v>0.68869999999999998</v>
      </c>
      <c r="C60" s="32">
        <f>IFERROR(SUBTOTAL(101,tblTemplate423[February]),"")</f>
        <v>0.68869999999999998</v>
      </c>
      <c r="D60" s="32" t="str">
        <f>IFERROR(SUBTOTAL(101,tblTemplate423[March]),"")</f>
        <v/>
      </c>
      <c r="E60" s="32" t="str">
        <f>IFERROR(SUBTOTAL(101,tblTemplate423[April]),"")</f>
        <v/>
      </c>
      <c r="F60" s="32" t="str">
        <f>IFERROR(SUBTOTAL(101,tblTemplate423[May]),"")</f>
        <v/>
      </c>
      <c r="G60" s="32" t="str">
        <f>IFERROR(SUBTOTAL(101,tblTemplate423[June]),"")</f>
        <v/>
      </c>
      <c r="H60" s="32" t="str">
        <f>IFERROR(SUBTOTAL(101,tblTemplate423[July]),"")</f>
        <v/>
      </c>
      <c r="I60" s="32" t="str">
        <f>IFERROR(SUBTOTAL(101,tblTemplate423[August]),"")</f>
        <v/>
      </c>
      <c r="J60" s="32" t="str">
        <f>IFERROR(SUBTOTAL(101,tblTemplate423[September]),"")</f>
        <v/>
      </c>
      <c r="K60" s="32" t="str">
        <f>IFERROR(SUBTOTAL(101,tblTemplate423[October]),"")</f>
        <v/>
      </c>
      <c r="L60" s="32" t="str">
        <f>IFERROR(SUBTOTAL(101,tblTemplate423[November]),"")</f>
        <v/>
      </c>
      <c r="M60" s="32" t="str">
        <f>IFERROR(SUBTOTAL(101,tblTemplate423[December]),"")</f>
        <v/>
      </c>
      <c r="N60" s="33">
        <f>IFERROR(SUBTOTAL(101,tblTemplate423[Average of Col4]),"")</f>
        <v>0.70253199023199031</v>
      </c>
      <c r="O60" s="30"/>
      <c r="P60" s="33">
        <f>IFERROR(SUBTOTAL(101,tblTemplate423[Q1]),"")</f>
        <v>0.70253199023199031</v>
      </c>
      <c r="Q60" s="33" t="str">
        <f>IFERROR(SUBTOTAL(101,tblTemplate423[Q2]),"")</f>
        <v/>
      </c>
      <c r="R60" s="33" t="str">
        <f>IFERROR(SUBTOTAL(101,tblTemplate423[Q3]),"")</f>
        <v/>
      </c>
      <c r="S60" s="33" t="str">
        <f>IFERROR(SUBTOTAL(101,tblTemplate423[Q4]),"")</f>
        <v/>
      </c>
    </row>
    <row r="63" spans="1:19" ht="18.75" x14ac:dyDescent="0.3">
      <c r="A63" s="4" t="str">
        <f>'Master Data'!F1</f>
        <v>Col5</v>
      </c>
    </row>
    <row r="64" spans="1:19" ht="30" customHeight="1" x14ac:dyDescent="0.25">
      <c r="A64" s="10" t="s">
        <v>43</v>
      </c>
      <c r="B64" s="10" t="s">
        <v>44</v>
      </c>
      <c r="C64" s="10" t="s">
        <v>1</v>
      </c>
      <c r="D64" s="10" t="s">
        <v>45</v>
      </c>
      <c r="E64" s="10" t="s">
        <v>46</v>
      </c>
      <c r="F64" s="10" t="s">
        <v>47</v>
      </c>
      <c r="G64" s="10" t="s">
        <v>48</v>
      </c>
      <c r="H64" s="10" t="s">
        <v>49</v>
      </c>
      <c r="I64" s="10" t="s">
        <v>50</v>
      </c>
      <c r="J64" s="10" t="s">
        <v>51</v>
      </c>
      <c r="K64" s="10" t="s">
        <v>52</v>
      </c>
      <c r="L64" s="10" t="s">
        <v>53</v>
      </c>
      <c r="M64" s="10" t="s">
        <v>54</v>
      </c>
      <c r="N64" s="9" t="s">
        <v>67</v>
      </c>
      <c r="O64" s="11" t="s">
        <v>55</v>
      </c>
      <c r="P64" s="11" t="s">
        <v>56</v>
      </c>
      <c r="Q64" s="11" t="s">
        <v>57</v>
      </c>
      <c r="R64" s="11" t="s">
        <v>58</v>
      </c>
      <c r="S64" s="11" t="s">
        <v>59</v>
      </c>
    </row>
    <row r="65" spans="1:19" x14ac:dyDescent="0.25">
      <c r="A65" t="s">
        <v>23</v>
      </c>
      <c r="B65" s="1">
        <v>0.83750000000000002</v>
      </c>
      <c r="C65" s="1">
        <v>0.83750000000000002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20">
        <f t="shared" ref="N65:N71" si="20">IFERROR(AVERAGE(B65:M74),"")</f>
        <v>0.74286666666666679</v>
      </c>
      <c r="O65" s="25"/>
      <c r="P65" s="22">
        <f t="shared" ref="P65:P71" si="21">IFERROR(AVERAGE(B65:D74),"")</f>
        <v>0.74286666666666679</v>
      </c>
      <c r="Q65" s="22" t="str">
        <f t="shared" ref="Q65:Q71" si="22">IFERROR(AVERAGE(E65:G74),"")</f>
        <v/>
      </c>
      <c r="R65" s="22" t="str">
        <f t="shared" ref="R65:R71" si="23">IFERROR(AVERAGE(H65:J74),"")</f>
        <v/>
      </c>
      <c r="S65" s="22" t="str">
        <f t="shared" ref="S65:S71" si="24">IFERROR(AVERAGE(K65:M74),"")</f>
        <v/>
      </c>
    </row>
    <row r="66" spans="1:19" x14ac:dyDescent="0.25">
      <c r="A66" t="s">
        <v>15</v>
      </c>
      <c r="B66" s="1">
        <v>0.72970000000000002</v>
      </c>
      <c r="C66" s="1">
        <v>0.72970000000000002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20">
        <f t="shared" si="20"/>
        <v>0.73235185185185181</v>
      </c>
      <c r="O66" s="26"/>
      <c r="P66" s="31">
        <f t="shared" si="21"/>
        <v>0.73235185185185181</v>
      </c>
      <c r="Q66" s="22" t="str">
        <f t="shared" si="22"/>
        <v/>
      </c>
      <c r="R66" s="22" t="str">
        <f t="shared" si="23"/>
        <v/>
      </c>
      <c r="S66" s="22" t="str">
        <f t="shared" si="24"/>
        <v/>
      </c>
    </row>
    <row r="67" spans="1:19" x14ac:dyDescent="0.25">
      <c r="A67" t="s">
        <v>16</v>
      </c>
      <c r="B67" s="1">
        <v>0.6</v>
      </c>
      <c r="C67" s="1">
        <v>0.6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20">
        <f t="shared" si="20"/>
        <v>0.73268333333333324</v>
      </c>
      <c r="O67" s="26"/>
      <c r="P67" s="31">
        <f t="shared" si="21"/>
        <v>0.73268333333333324</v>
      </c>
      <c r="Q67" s="22" t="str">
        <f t="shared" si="22"/>
        <v/>
      </c>
      <c r="R67" s="22" t="str">
        <f t="shared" si="23"/>
        <v/>
      </c>
      <c r="S67" s="22" t="str">
        <f t="shared" si="24"/>
        <v/>
      </c>
    </row>
    <row r="68" spans="1:19" x14ac:dyDescent="0.25">
      <c r="A68" t="s">
        <v>17</v>
      </c>
      <c r="B68" s="1">
        <v>0.77780000000000005</v>
      </c>
      <c r="C68" s="1">
        <v>0.77780000000000005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20">
        <f t="shared" si="20"/>
        <v>0.75163809523809522</v>
      </c>
      <c r="O68" s="26"/>
      <c r="P68" s="31">
        <f t="shared" si="21"/>
        <v>0.75163809523809522</v>
      </c>
      <c r="Q68" s="22" t="str">
        <f t="shared" si="22"/>
        <v/>
      </c>
      <c r="R68" s="22" t="str">
        <f t="shared" si="23"/>
        <v/>
      </c>
      <c r="S68" s="22" t="str">
        <f t="shared" si="24"/>
        <v/>
      </c>
    </row>
    <row r="69" spans="1:19" x14ac:dyDescent="0.25">
      <c r="A69" t="s">
        <v>18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0">
        <f t="shared" si="20"/>
        <v>0.74727777777777771</v>
      </c>
      <c r="O69" s="26"/>
      <c r="P69" s="31">
        <f t="shared" si="21"/>
        <v>0.74727777777777771</v>
      </c>
      <c r="Q69" s="22" t="str">
        <f t="shared" si="22"/>
        <v/>
      </c>
      <c r="R69" s="22" t="str">
        <f t="shared" si="23"/>
        <v/>
      </c>
      <c r="S69" s="22" t="str">
        <f t="shared" si="24"/>
        <v/>
      </c>
    </row>
    <row r="70" spans="1:19" x14ac:dyDescent="0.25">
      <c r="A70" t="s">
        <v>19</v>
      </c>
      <c r="B70" s="1">
        <v>0.52500000000000002</v>
      </c>
      <c r="C70" s="1">
        <v>0.52500000000000002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20">
        <f t="shared" si="20"/>
        <v>0.74727777777777771</v>
      </c>
      <c r="O70" s="26"/>
      <c r="P70" s="31">
        <f t="shared" si="21"/>
        <v>0.74727777777777771</v>
      </c>
      <c r="Q70" s="22" t="str">
        <f t="shared" si="22"/>
        <v/>
      </c>
      <c r="R70" s="22" t="str">
        <f t="shared" si="23"/>
        <v/>
      </c>
      <c r="S70" s="22" t="str">
        <f t="shared" si="24"/>
        <v/>
      </c>
    </row>
    <row r="71" spans="1:19" x14ac:dyDescent="0.25">
      <c r="A71" t="s">
        <v>20</v>
      </c>
      <c r="B71" s="1">
        <v>0.73680000000000001</v>
      </c>
      <c r="C71" s="1">
        <v>0.73680000000000001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20">
        <f t="shared" si="20"/>
        <v>0.78029444444444473</v>
      </c>
      <c r="O71" s="26"/>
      <c r="P71" s="31">
        <f t="shared" si="21"/>
        <v>0.78029444444444473</v>
      </c>
      <c r="Q71" s="22" t="str">
        <f t="shared" si="22"/>
        <v/>
      </c>
      <c r="R71" s="22" t="str">
        <f t="shared" si="23"/>
        <v/>
      </c>
      <c r="S71" s="22" t="str">
        <f t="shared" si="24"/>
        <v/>
      </c>
    </row>
    <row r="72" spans="1:19" x14ac:dyDescent="0.25">
      <c r="A72" t="s">
        <v>21</v>
      </c>
      <c r="B72" s="1">
        <v>0.85189999999999999</v>
      </c>
      <c r="C72" s="1">
        <v>0.85189999999999999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20">
        <f>IFERROR(AVERAGE(B72:M90),"")</f>
        <v>0.75459044444444445</v>
      </c>
      <c r="O72" s="26"/>
      <c r="P72" s="31">
        <f>IFERROR(AVERAGE(B72:D90),"")</f>
        <v>0.75459044444444445</v>
      </c>
      <c r="Q72" s="22" t="str">
        <f>IFERROR(AVERAGE(E72:G90),"")</f>
        <v/>
      </c>
      <c r="R72" s="22" t="str">
        <f>IFERROR(AVERAGE(H72:J90),"")</f>
        <v/>
      </c>
      <c r="S72" s="22" t="str">
        <f>IFERROR(AVERAGE(K72:M90),"")</f>
        <v/>
      </c>
    </row>
    <row r="73" spans="1:19" x14ac:dyDescent="0.25">
      <c r="A73" t="s">
        <v>22</v>
      </c>
      <c r="B73" s="1">
        <v>1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20">
        <f>IFERROR(AVERAGE(B73:M91),"")</f>
        <v>0.74763976190476189</v>
      </c>
      <c r="O73" s="26"/>
      <c r="P73" s="31">
        <f>IFERROR(AVERAGE(B73:D91),"")</f>
        <v>0.74763976190476189</v>
      </c>
      <c r="Q73" s="22" t="str">
        <f>IFERROR(AVERAGE(E73:G91),"")</f>
        <v/>
      </c>
      <c r="R73" s="22" t="str">
        <f>IFERROR(AVERAGE(H73:J91),"")</f>
        <v/>
      </c>
      <c r="S73" s="22" t="str">
        <f>IFERROR(AVERAGE(K73:M91),"")</f>
        <v/>
      </c>
    </row>
    <row r="74" spans="1:19" x14ac:dyDescent="0.25">
      <c r="A74" t="s">
        <v>23</v>
      </c>
      <c r="B74" s="1">
        <v>0.62709999999999999</v>
      </c>
      <c r="C74" s="1">
        <v>0.62709999999999999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20">
        <f>IFERROR(AVERAGE(B74:M92),"")</f>
        <v>0.72822743589743599</v>
      </c>
      <c r="O74" s="26"/>
      <c r="P74" s="31">
        <f>IFERROR(AVERAGE(B74:D92),"")</f>
        <v>0.72822743589743599</v>
      </c>
      <c r="Q74" s="22" t="str">
        <f>IFERROR(AVERAGE(E74:G92),"")</f>
        <v/>
      </c>
      <c r="R74" s="22" t="str">
        <f>IFERROR(AVERAGE(H74:J92),"")</f>
        <v/>
      </c>
      <c r="S74" s="22" t="str">
        <f>IFERROR(AVERAGE(K74:M92),"")</f>
        <v/>
      </c>
    </row>
    <row r="75" spans="1:19" ht="17.25" x14ac:dyDescent="0.4">
      <c r="A75" s="28" t="s">
        <v>60</v>
      </c>
      <c r="B75" s="32">
        <f>IFERROR(SUBTOTAL(101,tblTemplate524[January]),"")</f>
        <v>0.74286666666666668</v>
      </c>
      <c r="C75" s="32">
        <f>IFERROR(SUBTOTAL(101,tblTemplate524[February]),"")</f>
        <v>0.74286666666666668</v>
      </c>
      <c r="D75" s="32" t="str">
        <f>IFERROR(SUBTOTAL(101,tblTemplate524[March]),"")</f>
        <v/>
      </c>
      <c r="E75" s="32" t="str">
        <f>IFERROR(SUBTOTAL(101,tblTemplate524[April]),"")</f>
        <v/>
      </c>
      <c r="F75" s="32" t="str">
        <f>IFERROR(SUBTOTAL(101,tblTemplate524[May]),"")</f>
        <v/>
      </c>
      <c r="G75" s="32" t="str">
        <f>IFERROR(SUBTOTAL(101,tblTemplate524[June]),"")</f>
        <v/>
      </c>
      <c r="H75" s="32" t="str">
        <f>IFERROR(SUBTOTAL(101,tblTemplate524[July]),"")</f>
        <v/>
      </c>
      <c r="I75" s="32" t="str">
        <f>IFERROR(SUBTOTAL(101,tblTemplate524[August]),"")</f>
        <v/>
      </c>
      <c r="J75" s="32" t="str">
        <f>IFERROR(SUBTOTAL(101,tblTemplate524[September]),"")</f>
        <v/>
      </c>
      <c r="K75" s="32" t="str">
        <f>IFERROR(SUBTOTAL(101,tblTemplate524[October]),"")</f>
        <v/>
      </c>
      <c r="L75" s="32" t="str">
        <f>IFERROR(SUBTOTAL(101,tblTemplate524[November]),"")</f>
        <v/>
      </c>
      <c r="M75" s="32" t="str">
        <f>IFERROR(SUBTOTAL(101,tblTemplate524[December]),"")</f>
        <v/>
      </c>
      <c r="N75" s="33">
        <f>IFERROR(SUBTOTAL(101,tblTemplate524[Average of Col5]),"")</f>
        <v>0.74648475893365895</v>
      </c>
      <c r="O75" s="30"/>
      <c r="P75" s="33">
        <f>IFERROR(SUBTOTAL(101,tblTemplate524[Q1]),"")</f>
        <v>0.74648475893365895</v>
      </c>
      <c r="Q75" s="33" t="str">
        <f>IFERROR(SUBTOTAL(101,tblTemplate524[Q2]),"")</f>
        <v/>
      </c>
      <c r="R75" s="33" t="str">
        <f>IFERROR(SUBTOTAL(101,tblTemplate524[Q3]),"")</f>
        <v/>
      </c>
      <c r="S75" s="33" t="str">
        <f>IFERROR(SUBTOTAL(101,tblTemplate524[Q4]),"")</f>
        <v/>
      </c>
    </row>
    <row r="78" spans="1:19" ht="18.75" x14ac:dyDescent="0.3">
      <c r="A78" s="4" t="str">
        <f>'Master Data'!G1</f>
        <v>Col6</v>
      </c>
    </row>
    <row r="79" spans="1:19" ht="30" customHeight="1" x14ac:dyDescent="0.25">
      <c r="A79" s="10" t="s">
        <v>43</v>
      </c>
      <c r="B79" s="10" t="s">
        <v>44</v>
      </c>
      <c r="C79" s="10" t="s">
        <v>1</v>
      </c>
      <c r="D79" s="10" t="s">
        <v>45</v>
      </c>
      <c r="E79" s="10" t="s">
        <v>46</v>
      </c>
      <c r="F79" s="10" t="s">
        <v>47</v>
      </c>
      <c r="G79" s="10" t="s">
        <v>48</v>
      </c>
      <c r="H79" s="10" t="s">
        <v>49</v>
      </c>
      <c r="I79" s="10" t="s">
        <v>50</v>
      </c>
      <c r="J79" s="10" t="s">
        <v>51</v>
      </c>
      <c r="K79" s="10" t="s">
        <v>52</v>
      </c>
      <c r="L79" s="10" t="s">
        <v>53</v>
      </c>
      <c r="M79" s="10" t="s">
        <v>54</v>
      </c>
      <c r="N79" s="9" t="s">
        <v>68</v>
      </c>
      <c r="O79" s="11" t="s">
        <v>55</v>
      </c>
      <c r="P79" s="11" t="s">
        <v>56</v>
      </c>
      <c r="Q79" s="11" t="s">
        <v>57</v>
      </c>
      <c r="R79" s="11" t="s">
        <v>58</v>
      </c>
      <c r="S79" s="11" t="s">
        <v>59</v>
      </c>
    </row>
    <row r="80" spans="1:19" x14ac:dyDescent="0.25">
      <c r="A80" t="s">
        <v>23</v>
      </c>
      <c r="B80" s="1">
        <v>0.72309999999999997</v>
      </c>
      <c r="C80" s="1">
        <v>0.72309999999999997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20">
        <f t="shared" ref="N80:N86" si="25">IFERROR(AVERAGE(B80:M89),"")</f>
        <v>0.73608999999999991</v>
      </c>
      <c r="O80" s="25"/>
      <c r="P80" s="22">
        <f t="shared" ref="P80:P86" si="26">IFERROR(AVERAGE(B80:D89),"")</f>
        <v>0.73608999999999991</v>
      </c>
      <c r="Q80" s="22" t="str">
        <f t="shared" ref="Q80:Q86" si="27">IFERROR(AVERAGE(E80:G89),"")</f>
        <v/>
      </c>
      <c r="R80" s="22" t="str">
        <f t="shared" ref="R80:R86" si="28">IFERROR(AVERAGE(H80:J89),"")</f>
        <v/>
      </c>
      <c r="S80" s="22" t="str">
        <f t="shared" ref="S80:S86" si="29">IFERROR(AVERAGE(K80:M89),"")</f>
        <v/>
      </c>
    </row>
    <row r="81" spans="1:19" x14ac:dyDescent="0.25">
      <c r="A81" t="s">
        <v>15</v>
      </c>
      <c r="B81" s="1">
        <v>0.71430000000000005</v>
      </c>
      <c r="C81" s="1">
        <v>0.71430000000000005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20">
        <f t="shared" si="25"/>
        <v>0.73738899999999996</v>
      </c>
      <c r="O81" s="26"/>
      <c r="P81" s="31">
        <f t="shared" si="26"/>
        <v>0.73738899999999996</v>
      </c>
      <c r="Q81" s="22" t="str">
        <f t="shared" si="27"/>
        <v/>
      </c>
      <c r="R81" s="22" t="str">
        <f t="shared" si="28"/>
        <v/>
      </c>
      <c r="S81" s="22" t="str">
        <f t="shared" si="29"/>
        <v/>
      </c>
    </row>
    <row r="82" spans="1:19" x14ac:dyDescent="0.25">
      <c r="A82" t="s">
        <v>16</v>
      </c>
      <c r="B82" s="1">
        <v>0.83330000000000004</v>
      </c>
      <c r="C82" s="1">
        <v>0.83330000000000004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20">
        <f t="shared" si="25"/>
        <v>0.73995444444444436</v>
      </c>
      <c r="O82" s="26"/>
      <c r="P82" s="31">
        <f t="shared" si="26"/>
        <v>0.73995444444444436</v>
      </c>
      <c r="Q82" s="22" t="str">
        <f t="shared" si="27"/>
        <v/>
      </c>
      <c r="R82" s="22" t="str">
        <f t="shared" si="28"/>
        <v/>
      </c>
      <c r="S82" s="22" t="str">
        <f t="shared" si="29"/>
        <v/>
      </c>
    </row>
    <row r="83" spans="1:19" x14ac:dyDescent="0.25">
      <c r="A83" t="s">
        <v>17</v>
      </c>
      <c r="B83" s="1">
        <v>0.78259999999999996</v>
      </c>
      <c r="C83" s="1">
        <v>0.78259999999999996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20">
        <f t="shared" si="25"/>
        <v>0.72828625000000002</v>
      </c>
      <c r="O83" s="26"/>
      <c r="P83" s="31">
        <f t="shared" si="26"/>
        <v>0.72828625000000002</v>
      </c>
      <c r="Q83" s="22" t="str">
        <f t="shared" si="27"/>
        <v/>
      </c>
      <c r="R83" s="22" t="str">
        <f t="shared" si="28"/>
        <v/>
      </c>
      <c r="S83" s="22" t="str">
        <f t="shared" si="29"/>
        <v/>
      </c>
    </row>
    <row r="84" spans="1:19" x14ac:dyDescent="0.25">
      <c r="A84" t="s">
        <v>18</v>
      </c>
      <c r="B84" s="1">
        <v>0.75</v>
      </c>
      <c r="C84" s="1">
        <v>0.75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20">
        <f t="shared" si="25"/>
        <v>0.72052714285714303</v>
      </c>
      <c r="O84" s="26"/>
      <c r="P84" s="31">
        <f t="shared" si="26"/>
        <v>0.72052714285714303</v>
      </c>
      <c r="Q84" s="22" t="str">
        <f t="shared" si="27"/>
        <v/>
      </c>
      <c r="R84" s="22" t="str">
        <f t="shared" si="28"/>
        <v/>
      </c>
      <c r="S84" s="22" t="str">
        <f t="shared" si="29"/>
        <v/>
      </c>
    </row>
    <row r="85" spans="1:19" x14ac:dyDescent="0.25">
      <c r="A85" t="s">
        <v>19</v>
      </c>
      <c r="B85" s="1">
        <v>0.81479999999999997</v>
      </c>
      <c r="C85" s="1">
        <v>0.81479999999999997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20">
        <f t="shared" si="25"/>
        <v>0.71561500000000011</v>
      </c>
      <c r="O85" s="26"/>
      <c r="P85" s="31">
        <f t="shared" si="26"/>
        <v>0.71561500000000011</v>
      </c>
      <c r="Q85" s="22" t="str">
        <f t="shared" si="27"/>
        <v/>
      </c>
      <c r="R85" s="22" t="str">
        <f t="shared" si="28"/>
        <v/>
      </c>
      <c r="S85" s="22" t="str">
        <f t="shared" si="29"/>
        <v/>
      </c>
    </row>
    <row r="86" spans="1:19" x14ac:dyDescent="0.25">
      <c r="A86" t="s">
        <v>20</v>
      </c>
      <c r="B86" s="1">
        <v>0.73170000000000002</v>
      </c>
      <c r="C86" s="1">
        <v>0.73170000000000002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20">
        <f t="shared" si="25"/>
        <v>28.566481666666665</v>
      </c>
      <c r="O86" s="26"/>
      <c r="P86" s="31">
        <f t="shared" si="26"/>
        <v>28.566481666666665</v>
      </c>
      <c r="Q86" s="22" t="str">
        <f t="shared" si="27"/>
        <v/>
      </c>
      <c r="R86" s="22" t="str">
        <f t="shared" si="28"/>
        <v/>
      </c>
      <c r="S86" s="22" t="str">
        <f t="shared" si="29"/>
        <v/>
      </c>
    </row>
    <row r="87" spans="1:19" x14ac:dyDescent="0.25">
      <c r="A87" t="s">
        <v>21</v>
      </c>
      <c r="B87" s="1">
        <v>0.77780000000000005</v>
      </c>
      <c r="C87" s="1">
        <v>0.77780000000000005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20">
        <f>IFERROR(AVERAGE(B87:M105),"")</f>
        <v>143.76321266666667</v>
      </c>
      <c r="O87" s="26"/>
      <c r="P87" s="31">
        <f>IFERROR(AVERAGE(B87:D105),"")</f>
        <v>143.76321266666667</v>
      </c>
      <c r="Q87" s="22" t="str">
        <f>IFERROR(AVERAGE(E87:G105),"")</f>
        <v/>
      </c>
      <c r="R87" s="22" t="str">
        <f>IFERROR(AVERAGE(H87:J105),"")</f>
        <v/>
      </c>
      <c r="S87" s="22" t="str">
        <f>IFERROR(AVERAGE(K87:M105),"")</f>
        <v/>
      </c>
    </row>
    <row r="88" spans="1:19" x14ac:dyDescent="0.25">
      <c r="A88" t="s">
        <v>22</v>
      </c>
      <c r="B88" s="1">
        <v>0.4</v>
      </c>
      <c r="C88" s="1">
        <v>0.4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20">
        <f>IFERROR(AVERAGE(B88:M106),"")</f>
        <v>153.97645642857145</v>
      </c>
      <c r="O88" s="26"/>
      <c r="P88" s="31">
        <f>IFERROR(AVERAGE(B88:D106),"")</f>
        <v>153.97645642857145</v>
      </c>
      <c r="Q88" s="22" t="str">
        <f>IFERROR(AVERAGE(E88:G106),"")</f>
        <v/>
      </c>
      <c r="R88" s="22" t="str">
        <f>IFERROR(AVERAGE(H88:J106),"")</f>
        <v/>
      </c>
      <c r="S88" s="22" t="str">
        <f>IFERROR(AVERAGE(K88:M106),"")</f>
        <v/>
      </c>
    </row>
    <row r="89" spans="1:19" x14ac:dyDescent="0.25">
      <c r="A89" t="s">
        <v>23</v>
      </c>
      <c r="B89" s="1">
        <v>0.83330000000000004</v>
      </c>
      <c r="C89" s="1">
        <v>0.83330000000000004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20">
        <f>IFERROR(AVERAGE(B89:M107),"")</f>
        <v>165.79003</v>
      </c>
      <c r="O89" s="26"/>
      <c r="P89" s="31">
        <f>IFERROR(AVERAGE(B89:D107),"")</f>
        <v>165.79003</v>
      </c>
      <c r="Q89" s="22" t="str">
        <f>IFERROR(AVERAGE(E89:G107),"")</f>
        <v/>
      </c>
      <c r="R89" s="22" t="str">
        <f>IFERROR(AVERAGE(H89:J107),"")</f>
        <v/>
      </c>
      <c r="S89" s="22" t="str">
        <f>IFERROR(AVERAGE(K89:M107),"")</f>
        <v/>
      </c>
    </row>
    <row r="90" spans="1:19" ht="17.25" x14ac:dyDescent="0.4">
      <c r="A90" s="28" t="s">
        <v>60</v>
      </c>
      <c r="B90" s="32">
        <f>IFERROR(SUBTOTAL(101,tblTemplate625[January]),"")</f>
        <v>0.73609000000000013</v>
      </c>
      <c r="C90" s="32">
        <f>IFERROR(SUBTOTAL(101,tblTemplate625[February]),"")</f>
        <v>0.73609000000000013</v>
      </c>
      <c r="D90" s="32" t="str">
        <f>IFERROR(SUBTOTAL(101,tblTemplate625[March]),"")</f>
        <v/>
      </c>
      <c r="E90" s="32" t="str">
        <f>IFERROR(SUBTOTAL(101,tblTemplate625[April]),"")</f>
        <v/>
      </c>
      <c r="F90" s="32" t="str">
        <f>IFERROR(SUBTOTAL(101,tblTemplate625[May]),"")</f>
        <v/>
      </c>
      <c r="G90" s="32" t="str">
        <f>IFERROR(SUBTOTAL(101,tblTemplate625[June]),"")</f>
        <v/>
      </c>
      <c r="H90" s="32" t="str">
        <f>IFERROR(SUBTOTAL(101,tblTemplate625[July]),"")</f>
        <v/>
      </c>
      <c r="I90" s="32" t="str">
        <f>IFERROR(SUBTOTAL(101,tblTemplate625[August]),"")</f>
        <v/>
      </c>
      <c r="J90" s="32" t="str">
        <f>IFERROR(SUBTOTAL(101,tblTemplate625[September]),"")</f>
        <v/>
      </c>
      <c r="K90" s="32" t="str">
        <f>IFERROR(SUBTOTAL(101,tblTemplate625[October]),"")</f>
        <v/>
      </c>
      <c r="L90" s="32" t="str">
        <f>IFERROR(SUBTOTAL(101,tblTemplate625[November]),"")</f>
        <v/>
      </c>
      <c r="M90" s="32" t="str">
        <f>IFERROR(SUBTOTAL(101,tblTemplate625[December]),"")</f>
        <v/>
      </c>
      <c r="N90" s="33">
        <f>IFERROR(SUBTOTAL(101,tblTemplate625[Average of Col6]),"")</f>
        <v>49.647404259920634</v>
      </c>
      <c r="O90" s="30"/>
      <c r="P90" s="33">
        <f>IFERROR(SUBTOTAL(101,tblTemplate625[Q1]),"")</f>
        <v>49.647404259920634</v>
      </c>
      <c r="Q90" s="33" t="str">
        <f>IFERROR(SUBTOTAL(101,tblTemplate625[Q2]),"")</f>
        <v/>
      </c>
      <c r="R90" s="33" t="str">
        <f>IFERROR(SUBTOTAL(101,tblTemplate625[Q3]),"")</f>
        <v/>
      </c>
      <c r="S90" s="33" t="str">
        <f>IFERROR(SUBTOTAL(101,tblTemplate625[Q4]),"")</f>
        <v/>
      </c>
    </row>
    <row r="93" spans="1:19" ht="18.75" x14ac:dyDescent="0.3">
      <c r="A93" s="4" t="str">
        <f>'Master Data'!H1</f>
        <v>Col7</v>
      </c>
    </row>
    <row r="94" spans="1:19" ht="30" customHeight="1" x14ac:dyDescent="0.25">
      <c r="A94" s="10" t="s">
        <v>43</v>
      </c>
      <c r="B94" s="10" t="s">
        <v>44</v>
      </c>
      <c r="C94" s="10" t="s">
        <v>1</v>
      </c>
      <c r="D94" s="10" t="s">
        <v>45</v>
      </c>
      <c r="E94" s="10" t="s">
        <v>46</v>
      </c>
      <c r="F94" s="10" t="s">
        <v>47</v>
      </c>
      <c r="G94" s="10" t="s">
        <v>48</v>
      </c>
      <c r="H94" s="10" t="s">
        <v>49</v>
      </c>
      <c r="I94" s="10" t="s">
        <v>50</v>
      </c>
      <c r="J94" s="10" t="s">
        <v>51</v>
      </c>
      <c r="K94" s="10" t="s">
        <v>52</v>
      </c>
      <c r="L94" s="10" t="s">
        <v>53</v>
      </c>
      <c r="M94" s="10" t="s">
        <v>54</v>
      </c>
      <c r="N94" s="9" t="s">
        <v>69</v>
      </c>
      <c r="O94" s="11" t="s">
        <v>55</v>
      </c>
      <c r="P94" s="11" t="s">
        <v>56</v>
      </c>
      <c r="Q94" s="11" t="s">
        <v>57</v>
      </c>
      <c r="R94" s="11" t="s">
        <v>58</v>
      </c>
      <c r="S94" s="11" t="s">
        <v>59</v>
      </c>
    </row>
    <row r="95" spans="1:19" x14ac:dyDescent="0.25">
      <c r="A95" t="s">
        <v>23</v>
      </c>
      <c r="B95" s="18">
        <v>167.92</v>
      </c>
      <c r="C95" s="18">
        <v>167.92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20">
        <f t="shared" ref="N95:N101" si="30">IFERROR(AVERAGE(B95:M104),"")</f>
        <v>195.791</v>
      </c>
      <c r="O95" s="25"/>
      <c r="P95" s="22">
        <f t="shared" ref="P95:P101" si="31">IFERROR(AVERAGE(B95:D104),"")</f>
        <v>195.791</v>
      </c>
      <c r="Q95" s="22" t="str">
        <f t="shared" ref="Q95:Q101" si="32">IFERROR(AVERAGE(E95:G104),"")</f>
        <v/>
      </c>
      <c r="R95" s="22" t="str">
        <f t="shared" ref="R95:R101" si="33">IFERROR(AVERAGE(H95:J104),"")</f>
        <v/>
      </c>
      <c r="S95" s="22" t="str">
        <f t="shared" ref="S95:S101" si="34">IFERROR(AVERAGE(K95:M104),"")</f>
        <v/>
      </c>
    </row>
    <row r="96" spans="1:19" x14ac:dyDescent="0.25">
      <c r="A96" t="s">
        <v>15</v>
      </c>
      <c r="B96" s="18">
        <v>165.89</v>
      </c>
      <c r="C96" s="18">
        <v>165.89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20">
        <f t="shared" si="30"/>
        <v>198.57810000000001</v>
      </c>
      <c r="O96" s="26"/>
      <c r="P96" s="31">
        <f t="shared" si="31"/>
        <v>198.57810000000001</v>
      </c>
      <c r="Q96" s="22" t="str">
        <f t="shared" si="32"/>
        <v/>
      </c>
      <c r="R96" s="22" t="str">
        <f t="shared" si="33"/>
        <v/>
      </c>
      <c r="S96" s="22" t="str">
        <f t="shared" si="34"/>
        <v/>
      </c>
    </row>
    <row r="97" spans="1:19" x14ac:dyDescent="0.25">
      <c r="A97" t="s">
        <v>16</v>
      </c>
      <c r="B97" s="18">
        <v>91.23</v>
      </c>
      <c r="C97" s="18">
        <v>91.23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0">
        <f t="shared" si="30"/>
        <v>202.21011111111113</v>
      </c>
      <c r="O97" s="26"/>
      <c r="P97" s="31">
        <f t="shared" si="31"/>
        <v>202.21011111111113</v>
      </c>
      <c r="Q97" s="22" t="str">
        <f t="shared" si="32"/>
        <v/>
      </c>
      <c r="R97" s="22" t="str">
        <f t="shared" si="33"/>
        <v/>
      </c>
      <c r="S97" s="22" t="str">
        <f t="shared" si="34"/>
        <v/>
      </c>
    </row>
    <row r="98" spans="1:19" x14ac:dyDescent="0.25">
      <c r="A98" t="s">
        <v>17</v>
      </c>
      <c r="B98" s="18">
        <v>211.51</v>
      </c>
      <c r="C98" s="18">
        <v>211.51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0">
        <f t="shared" si="30"/>
        <v>216.08262500000001</v>
      </c>
      <c r="O98" s="26"/>
      <c r="P98" s="31">
        <f t="shared" si="31"/>
        <v>216.08262500000001</v>
      </c>
      <c r="Q98" s="22" t="str">
        <f t="shared" si="32"/>
        <v/>
      </c>
      <c r="R98" s="22" t="str">
        <f t="shared" si="33"/>
        <v/>
      </c>
      <c r="S98" s="22" t="str">
        <f t="shared" si="34"/>
        <v/>
      </c>
    </row>
    <row r="99" spans="1:19" x14ac:dyDescent="0.25">
      <c r="A99" t="s">
        <v>18</v>
      </c>
      <c r="B99" s="18">
        <v>0</v>
      </c>
      <c r="C99" s="18">
        <v>0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20">
        <f t="shared" si="30"/>
        <v>216.73585714285718</v>
      </c>
      <c r="O99" s="26"/>
      <c r="P99" s="31">
        <f t="shared" si="31"/>
        <v>216.73585714285718</v>
      </c>
      <c r="Q99" s="22" t="str">
        <f t="shared" si="32"/>
        <v/>
      </c>
      <c r="R99" s="22" t="str">
        <f t="shared" si="33"/>
        <v/>
      </c>
      <c r="S99" s="22" t="str">
        <f t="shared" si="34"/>
        <v/>
      </c>
    </row>
    <row r="100" spans="1:19" x14ac:dyDescent="0.25">
      <c r="A100" t="s">
        <v>19</v>
      </c>
      <c r="B100" s="18">
        <v>239.62</v>
      </c>
      <c r="C100" s="18">
        <v>239.62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20">
        <f t="shared" si="30"/>
        <v>252.85850000000005</v>
      </c>
      <c r="O100" s="26"/>
      <c r="P100" s="31">
        <f t="shared" si="31"/>
        <v>252.85850000000005</v>
      </c>
      <c r="Q100" s="22" t="str">
        <f t="shared" si="32"/>
        <v/>
      </c>
      <c r="R100" s="22" t="str">
        <f t="shared" si="33"/>
        <v/>
      </c>
      <c r="S100" s="22" t="str">
        <f t="shared" si="34"/>
        <v/>
      </c>
    </row>
    <row r="101" spans="1:19" x14ac:dyDescent="0.25">
      <c r="A101" t="s">
        <v>20</v>
      </c>
      <c r="B101" s="18">
        <v>259.8</v>
      </c>
      <c r="C101" s="18">
        <v>259.8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20">
        <f t="shared" si="30"/>
        <v>212.96646666666672</v>
      </c>
      <c r="O101" s="26"/>
      <c r="P101" s="31">
        <f t="shared" si="31"/>
        <v>212.96646666666672</v>
      </c>
      <c r="Q101" s="22" t="str">
        <f t="shared" si="32"/>
        <v/>
      </c>
      <c r="R101" s="22" t="str">
        <f t="shared" si="33"/>
        <v/>
      </c>
      <c r="S101" s="22" t="str">
        <f t="shared" si="34"/>
        <v/>
      </c>
    </row>
    <row r="102" spans="1:19" x14ac:dyDescent="0.25">
      <c r="A102" t="s">
        <v>21</v>
      </c>
      <c r="B102" s="18">
        <v>249.29</v>
      </c>
      <c r="C102" s="18">
        <v>249.29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20">
        <f>IFERROR(AVERAGE(B102:M120),"")</f>
        <v>72.876238095238108</v>
      </c>
      <c r="O102" s="26"/>
      <c r="P102" s="31">
        <f>IFERROR(AVERAGE(B102:D120),"")</f>
        <v>72.876238095238108</v>
      </c>
      <c r="Q102" s="22" t="str">
        <f>IFERROR(AVERAGE(E102:G120),"")</f>
        <v/>
      </c>
      <c r="R102" s="22" t="str">
        <f>IFERROR(AVERAGE(H102:J120),"")</f>
        <v/>
      </c>
      <c r="S102" s="22" t="str">
        <f>IFERROR(AVERAGE(K102:M120),"")</f>
        <v/>
      </c>
    </row>
    <row r="103" spans="1:19" x14ac:dyDescent="0.25">
      <c r="A103" t="s">
        <v>22</v>
      </c>
      <c r="B103" s="18">
        <v>300</v>
      </c>
      <c r="C103" s="18">
        <v>300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20">
        <f>IFERROR(AVERAGE(B103:M121),"")</f>
        <v>59.305948717948723</v>
      </c>
      <c r="O103" s="26"/>
      <c r="P103" s="31">
        <f>IFERROR(AVERAGE(B103:D121),"")</f>
        <v>59.305948717948723</v>
      </c>
      <c r="Q103" s="22" t="str">
        <f>IFERROR(AVERAGE(E103:G121),"")</f>
        <v/>
      </c>
      <c r="R103" s="22" t="str">
        <f>IFERROR(AVERAGE(H103:J121),"")</f>
        <v/>
      </c>
      <c r="S103" s="22" t="str">
        <f>IFERROR(AVERAGE(K103:M121),"")</f>
        <v/>
      </c>
    </row>
    <row r="104" spans="1:19" x14ac:dyDescent="0.25">
      <c r="A104" t="s">
        <v>23</v>
      </c>
      <c r="B104" s="18">
        <v>272.64999999999998</v>
      </c>
      <c r="C104" s="18">
        <v>272.64999999999998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20">
        <f>IFERROR(AVERAGE(B104:M122),"")</f>
        <v>39.248111111111108</v>
      </c>
      <c r="O104" s="26"/>
      <c r="P104" s="31">
        <f>IFERROR(AVERAGE(B104:D122),"")</f>
        <v>39.248111111111108</v>
      </c>
      <c r="Q104" s="22" t="str">
        <f>IFERROR(AVERAGE(E104:G122),"")</f>
        <v/>
      </c>
      <c r="R104" s="22" t="str">
        <f>IFERROR(AVERAGE(H104:J122),"")</f>
        <v/>
      </c>
      <c r="S104" s="22" t="str">
        <f>IFERROR(AVERAGE(K104:M122),"")</f>
        <v/>
      </c>
    </row>
    <row r="105" spans="1:19" ht="17.25" x14ac:dyDescent="0.4">
      <c r="A105" s="28" t="s">
        <v>61</v>
      </c>
      <c r="B105" s="34">
        <f>IFERROR(SUBTOTAL(101,tblTemplate726[January]),"")</f>
        <v>195.791</v>
      </c>
      <c r="C105" s="34">
        <f>IFERROR(SUBTOTAL(101,tblTemplate726[February]),"")</f>
        <v>195.791</v>
      </c>
      <c r="D105" s="34" t="str">
        <f>IFERROR(SUBTOTAL(101,tblTemplate726[March]),"")</f>
        <v/>
      </c>
      <c r="E105" s="34" t="str">
        <f>IFERROR(SUBTOTAL(101,tblTemplate726[April]),"")</f>
        <v/>
      </c>
      <c r="F105" s="34" t="str">
        <f>IFERROR(SUBTOTAL(101,tblTemplate726[May]),"")</f>
        <v/>
      </c>
      <c r="G105" s="34" t="str">
        <f>IFERROR(SUBTOTAL(101,tblTemplate726[June]),"")</f>
        <v/>
      </c>
      <c r="H105" s="34" t="str">
        <f>IFERROR(SUBTOTAL(101,tblTemplate726[July]),"")</f>
        <v/>
      </c>
      <c r="I105" s="34" t="str">
        <f>IFERROR(SUBTOTAL(101,tblTemplate726[August]),"")</f>
        <v/>
      </c>
      <c r="J105" s="34" t="str">
        <f>IFERROR(SUBTOTAL(101,tblTemplate726[September]),"")</f>
        <v/>
      </c>
      <c r="K105" s="34" t="str">
        <f>IFERROR(SUBTOTAL(101,tblTemplate726[October]),"")</f>
        <v/>
      </c>
      <c r="L105" s="34" t="str">
        <f>IFERROR(SUBTOTAL(101,tblTemplate726[November]),"")</f>
        <v/>
      </c>
      <c r="M105" s="34" t="str">
        <f>IFERROR(SUBTOTAL(101,tblTemplate726[December]),"")</f>
        <v/>
      </c>
      <c r="N105" s="33">
        <f>IFERROR(SUBTOTAL(101,tblTemplate726[Average of Col7]),"")</f>
        <v>166.66529578449328</v>
      </c>
      <c r="O105" s="30"/>
      <c r="P105" s="33">
        <f>IFERROR(SUBTOTAL(101,tblTemplate726[Q1]),"")</f>
        <v>166.66529578449328</v>
      </c>
      <c r="Q105" s="33" t="str">
        <f>IFERROR(SUBTOTAL(101,tblTemplate726[Q2]),"")</f>
        <v/>
      </c>
      <c r="R105" s="33" t="str">
        <f>IFERROR(SUBTOTAL(101,tblTemplate726[Q3]),"")</f>
        <v/>
      </c>
      <c r="S105" s="33" t="str">
        <f>IFERROR(SUBTOTAL(101,tblTemplate726[Q4]),"")</f>
        <v/>
      </c>
    </row>
    <row r="108" spans="1:19" ht="18.75" x14ac:dyDescent="0.3">
      <c r="A108" s="4" t="str">
        <f>'Master Data'!I1</f>
        <v>Col8</v>
      </c>
    </row>
    <row r="109" spans="1:19" ht="30" customHeight="1" x14ac:dyDescent="0.25">
      <c r="A109" s="10" t="s">
        <v>43</v>
      </c>
      <c r="B109" s="10" t="s">
        <v>44</v>
      </c>
      <c r="C109" s="10" t="s">
        <v>1</v>
      </c>
      <c r="D109" s="10" t="s">
        <v>45</v>
      </c>
      <c r="E109" s="10" t="s">
        <v>46</v>
      </c>
      <c r="F109" s="10" t="s">
        <v>47</v>
      </c>
      <c r="G109" s="10" t="s">
        <v>48</v>
      </c>
      <c r="H109" s="10" t="s">
        <v>49</v>
      </c>
      <c r="I109" s="10" t="s">
        <v>50</v>
      </c>
      <c r="J109" s="10" t="s">
        <v>51</v>
      </c>
      <c r="K109" s="10" t="s">
        <v>52</v>
      </c>
      <c r="L109" s="10" t="s">
        <v>53</v>
      </c>
      <c r="M109" s="10" t="s">
        <v>54</v>
      </c>
      <c r="N109" s="9" t="s">
        <v>70</v>
      </c>
      <c r="O109" s="11" t="s">
        <v>55</v>
      </c>
      <c r="P109" s="11" t="s">
        <v>56</v>
      </c>
      <c r="Q109" s="11" t="s">
        <v>57</v>
      </c>
      <c r="R109" s="11" t="s">
        <v>58</v>
      </c>
      <c r="S109" s="11" t="s">
        <v>59</v>
      </c>
    </row>
    <row r="110" spans="1:19" x14ac:dyDescent="0.25">
      <c r="A110" t="s">
        <v>23</v>
      </c>
      <c r="B110" s="1">
        <v>0.26779999999999998</v>
      </c>
      <c r="C110" s="1">
        <v>0.26779999999999998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0">
        <f t="shared" ref="N110:N116" si="35">IFERROR(AVERAGE(B110:M119),"")</f>
        <v>0.25363333333333338</v>
      </c>
      <c r="O110" s="25"/>
      <c r="P110" s="22">
        <f t="shared" ref="P110:P116" si="36">IFERROR(AVERAGE(B110:D119),"")</f>
        <v>0.25363333333333338</v>
      </c>
      <c r="Q110" s="22" t="str">
        <f t="shared" ref="Q110:Q116" si="37">IFERROR(AVERAGE(E110:G119),"")</f>
        <v/>
      </c>
      <c r="R110" s="22" t="str">
        <f t="shared" ref="R110:R116" si="38">IFERROR(AVERAGE(H110:J119),"")</f>
        <v/>
      </c>
      <c r="S110" s="22" t="str">
        <f t="shared" ref="S110:S116" si="39">IFERROR(AVERAGE(K110:M119),"")</f>
        <v/>
      </c>
    </row>
    <row r="111" spans="1:19" x14ac:dyDescent="0.25">
      <c r="A111" t="s">
        <v>15</v>
      </c>
      <c r="B111" s="1">
        <v>0.2989</v>
      </c>
      <c r="C111" s="1">
        <v>0.2989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0">
        <f t="shared" si="35"/>
        <v>0.25205925925925926</v>
      </c>
      <c r="O111" s="26"/>
      <c r="P111" s="31">
        <f t="shared" si="36"/>
        <v>0.25205925925925926</v>
      </c>
      <c r="Q111" s="22" t="str">
        <f t="shared" si="37"/>
        <v/>
      </c>
      <c r="R111" s="22" t="str">
        <f t="shared" si="38"/>
        <v/>
      </c>
      <c r="S111" s="22" t="str">
        <f t="shared" si="39"/>
        <v/>
      </c>
    </row>
    <row r="112" spans="1:19" x14ac:dyDescent="0.25">
      <c r="A112" t="s">
        <v>16</v>
      </c>
      <c r="B112" s="1">
        <v>0.14130000000000001</v>
      </c>
      <c r="C112" s="1">
        <v>0.14130000000000001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0">
        <f t="shared" si="35"/>
        <v>0.24620416666666667</v>
      </c>
      <c r="O112" s="26"/>
      <c r="P112" s="31">
        <f t="shared" si="36"/>
        <v>0.24620416666666667</v>
      </c>
      <c r="Q112" s="22" t="str">
        <f t="shared" si="37"/>
        <v/>
      </c>
      <c r="R112" s="22" t="str">
        <f t="shared" si="38"/>
        <v/>
      </c>
      <c r="S112" s="22" t="str">
        <f t="shared" si="39"/>
        <v/>
      </c>
    </row>
    <row r="113" spans="1:19" x14ac:dyDescent="0.25">
      <c r="A113" t="s">
        <v>17</v>
      </c>
      <c r="B113" s="1">
        <v>0.45319999999999999</v>
      </c>
      <c r="C113" s="1">
        <v>0.45319999999999999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0">
        <f t="shared" si="35"/>
        <v>0.26119047619047625</v>
      </c>
      <c r="O113" s="26"/>
      <c r="P113" s="31">
        <f t="shared" si="36"/>
        <v>0.26119047619047625</v>
      </c>
      <c r="Q113" s="22" t="str">
        <f t="shared" si="37"/>
        <v/>
      </c>
      <c r="R113" s="22" t="str">
        <f t="shared" si="38"/>
        <v/>
      </c>
      <c r="S113" s="22" t="str">
        <f t="shared" si="39"/>
        <v/>
      </c>
    </row>
    <row r="114" spans="1:19" x14ac:dyDescent="0.25">
      <c r="A114" t="s">
        <v>18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0">
        <f t="shared" si="35"/>
        <v>0.22918888888888889</v>
      </c>
      <c r="O114" s="26"/>
      <c r="P114" s="31">
        <f t="shared" si="36"/>
        <v>0.22918888888888889</v>
      </c>
      <c r="Q114" s="22" t="str">
        <f t="shared" si="37"/>
        <v/>
      </c>
      <c r="R114" s="22" t="str">
        <f t="shared" si="38"/>
        <v/>
      </c>
      <c r="S114" s="22" t="str">
        <f t="shared" si="39"/>
        <v/>
      </c>
    </row>
    <row r="115" spans="1:19" x14ac:dyDescent="0.25">
      <c r="A115" t="s">
        <v>19</v>
      </c>
      <c r="B115" s="1">
        <v>0.23150000000000001</v>
      </c>
      <c r="C115" s="1">
        <v>0.23150000000000001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0">
        <f t="shared" si="35"/>
        <v>0.22918888888888889</v>
      </c>
      <c r="O115" s="26"/>
      <c r="P115" s="31">
        <f t="shared" si="36"/>
        <v>0.22918888888888889</v>
      </c>
      <c r="Q115" s="22" t="str">
        <f t="shared" si="37"/>
        <v/>
      </c>
      <c r="R115" s="22" t="str">
        <f t="shared" si="38"/>
        <v/>
      </c>
      <c r="S115" s="22" t="str">
        <f t="shared" si="39"/>
        <v/>
      </c>
    </row>
    <row r="116" spans="1:19" x14ac:dyDescent="0.25">
      <c r="A116" t="s">
        <v>20</v>
      </c>
      <c r="B116" s="1">
        <v>0.28320000000000001</v>
      </c>
      <c r="C116" s="1">
        <v>0.28320000000000001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0">
        <f t="shared" si="35"/>
        <v>0.34720555555555555</v>
      </c>
      <c r="O116" s="26"/>
      <c r="P116" s="31">
        <f t="shared" si="36"/>
        <v>0.34720555555555555</v>
      </c>
      <c r="Q116" s="22" t="str">
        <f t="shared" si="37"/>
        <v/>
      </c>
      <c r="R116" s="22" t="str">
        <f t="shared" si="38"/>
        <v/>
      </c>
      <c r="S116" s="22" t="str">
        <f t="shared" si="39"/>
        <v/>
      </c>
    </row>
    <row r="117" spans="1:19" x14ac:dyDescent="0.25">
      <c r="A117" t="s">
        <v>21</v>
      </c>
      <c r="B117" s="1">
        <v>0.34370000000000001</v>
      </c>
      <c r="C117" s="1">
        <v>0.34370000000000001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0">
        <f>IFERROR(AVERAGE(B117:M135),"")</f>
        <v>0.707507142857143</v>
      </c>
      <c r="O117" s="26"/>
      <c r="P117" s="31">
        <f>IFERROR(AVERAGE(B117:D135),"")</f>
        <v>0.707507142857143</v>
      </c>
      <c r="Q117" s="22" t="str">
        <f>IFERROR(AVERAGE(E117:G135),"")</f>
        <v/>
      </c>
      <c r="R117" s="22" t="str">
        <f>IFERROR(AVERAGE(H117:J135),"")</f>
        <v/>
      </c>
      <c r="S117" s="22" t="str">
        <f>IFERROR(AVERAGE(K117:M135),"")</f>
        <v/>
      </c>
    </row>
    <row r="118" spans="1:19" x14ac:dyDescent="0.25">
      <c r="A118" t="s">
        <v>22</v>
      </c>
      <c r="B118" s="1">
        <v>0.1211</v>
      </c>
      <c r="C118" s="1">
        <v>0.1211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0">
        <f>IFERROR(AVERAGE(B118:M136),"")</f>
        <v>0.73549230769230789</v>
      </c>
      <c r="O118" s="26"/>
      <c r="P118" s="31">
        <f>IFERROR(AVERAGE(B118:D136),"")</f>
        <v>0.73549230769230789</v>
      </c>
      <c r="Q118" s="22" t="str">
        <f>IFERROR(AVERAGE(E118:G136),"")</f>
        <v/>
      </c>
      <c r="R118" s="22" t="str">
        <f>IFERROR(AVERAGE(H118:J136),"")</f>
        <v/>
      </c>
      <c r="S118" s="22" t="str">
        <f>IFERROR(AVERAGE(K118:M136),"")</f>
        <v/>
      </c>
    </row>
    <row r="119" spans="1:19" x14ac:dyDescent="0.25">
      <c r="A119" t="s">
        <v>23</v>
      </c>
      <c r="B119" s="1">
        <v>0.14199999999999999</v>
      </c>
      <c r="C119" s="1">
        <v>0.14199999999999999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0">
        <f>IFERROR(AVERAGE(B119:M137),"")</f>
        <v>0.7866916666666669</v>
      </c>
      <c r="O119" s="26"/>
      <c r="P119" s="31">
        <f>IFERROR(AVERAGE(B119:D137),"")</f>
        <v>0.7866916666666669</v>
      </c>
      <c r="Q119" s="22" t="str">
        <f>IFERROR(AVERAGE(E119:G137),"")</f>
        <v/>
      </c>
      <c r="R119" s="22" t="str">
        <f>IFERROR(AVERAGE(H119:J137),"")</f>
        <v/>
      </c>
      <c r="S119" s="22" t="str">
        <f>IFERROR(AVERAGE(K119:M137),"")</f>
        <v/>
      </c>
    </row>
    <row r="120" spans="1:19" ht="17.25" x14ac:dyDescent="0.4">
      <c r="A120" s="28" t="s">
        <v>60</v>
      </c>
      <c r="B120" s="32">
        <f>IFERROR(SUBTOTAL(101,tblTemplate827[January]),"")</f>
        <v>0.25363333333333338</v>
      </c>
      <c r="C120" s="32">
        <f>IFERROR(SUBTOTAL(101,tblTemplate827[February]),"")</f>
        <v>0.25363333333333338</v>
      </c>
      <c r="D120" s="32" t="str">
        <f>IFERROR(SUBTOTAL(101,tblTemplate827[March]),"")</f>
        <v/>
      </c>
      <c r="E120" s="32" t="str">
        <f>IFERROR(SUBTOTAL(101,tblTemplate827[April]),"")</f>
        <v/>
      </c>
      <c r="F120" s="32" t="str">
        <f>IFERROR(SUBTOTAL(101,tblTemplate827[May]),"")</f>
        <v/>
      </c>
      <c r="G120" s="32" t="str">
        <f>IFERROR(SUBTOTAL(101,tblTemplate827[June]),"")</f>
        <v/>
      </c>
      <c r="H120" s="32" t="str">
        <f>IFERROR(SUBTOTAL(101,tblTemplate827[July]),"")</f>
        <v/>
      </c>
      <c r="I120" s="32" t="str">
        <f>IFERROR(SUBTOTAL(101,tblTemplate827[August]),"")</f>
        <v/>
      </c>
      <c r="J120" s="32" t="str">
        <f>IFERROR(SUBTOTAL(101,tblTemplate827[September]),"")</f>
        <v/>
      </c>
      <c r="K120" s="32" t="str">
        <f>IFERROR(SUBTOTAL(101,tblTemplate827[October]),"")</f>
        <v/>
      </c>
      <c r="L120" s="32" t="str">
        <f>IFERROR(SUBTOTAL(101,tblTemplate827[November]),"")</f>
        <v/>
      </c>
      <c r="M120" s="32" t="str">
        <f>IFERROR(SUBTOTAL(101,tblTemplate827[December]),"")</f>
        <v/>
      </c>
      <c r="N120" s="33">
        <f>IFERROR(SUBTOTAL(101,tblTemplate827[Average of Col8]),"")</f>
        <v>0.40483616859991861</v>
      </c>
      <c r="O120" s="30"/>
      <c r="P120" s="33">
        <f>IFERROR(SUBTOTAL(101,tblTemplate827[Q1]),"")</f>
        <v>0.40483616859991861</v>
      </c>
      <c r="Q120" s="33" t="str">
        <f>IFERROR(SUBTOTAL(101,tblTemplate827[Q2]),"")</f>
        <v/>
      </c>
      <c r="R120" s="33" t="str">
        <f>IFERROR(SUBTOTAL(101,tblTemplate827[Q3]),"")</f>
        <v/>
      </c>
      <c r="S120" s="33" t="str">
        <f>IFERROR(SUBTOTAL(101,tblTemplate827[Q4]),"")</f>
        <v/>
      </c>
    </row>
    <row r="123" spans="1:19" ht="18.75" x14ac:dyDescent="0.3">
      <c r="A123" s="4" t="str">
        <f>'Master Data'!J1</f>
        <v>Col9</v>
      </c>
    </row>
    <row r="124" spans="1:19" ht="30" customHeight="1" x14ac:dyDescent="0.25">
      <c r="A124" s="10" t="s">
        <v>43</v>
      </c>
      <c r="B124" s="10" t="s">
        <v>44</v>
      </c>
      <c r="C124" s="10" t="s">
        <v>1</v>
      </c>
      <c r="D124" s="10" t="s">
        <v>45</v>
      </c>
      <c r="E124" s="10" t="s">
        <v>46</v>
      </c>
      <c r="F124" s="10" t="s">
        <v>47</v>
      </c>
      <c r="G124" s="10" t="s">
        <v>48</v>
      </c>
      <c r="H124" s="10" t="s">
        <v>49</v>
      </c>
      <c r="I124" s="10" t="s">
        <v>50</v>
      </c>
      <c r="J124" s="10" t="s">
        <v>51</v>
      </c>
      <c r="K124" s="10" t="s">
        <v>52</v>
      </c>
      <c r="L124" s="10" t="s">
        <v>53</v>
      </c>
      <c r="M124" s="10" t="s">
        <v>54</v>
      </c>
      <c r="N124" s="9" t="s">
        <v>71</v>
      </c>
      <c r="O124" s="11" t="s">
        <v>55</v>
      </c>
      <c r="P124" s="11" t="s">
        <v>56</v>
      </c>
      <c r="Q124" s="11" t="s">
        <v>57</v>
      </c>
      <c r="R124" s="11" t="s">
        <v>58</v>
      </c>
      <c r="S124" s="11" t="s">
        <v>59</v>
      </c>
    </row>
    <row r="125" spans="1:19" ht="17.25" x14ac:dyDescent="0.4">
      <c r="A125" t="s">
        <v>23</v>
      </c>
      <c r="B125" s="1">
        <v>0.93959999999999999</v>
      </c>
      <c r="C125" s="1">
        <v>0.93959999999999999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0">
        <f t="shared" ref="N125:N134" si="40">IFERROR(AVERAGE(B125:M134),"")</f>
        <v>0.90446666666666664</v>
      </c>
      <c r="O125" s="3"/>
      <c r="P125" s="22">
        <f t="shared" ref="P125:P134" si="41">IFERROR(AVERAGE(B125:D134),"")</f>
        <v>0.90446666666666664</v>
      </c>
      <c r="Q125" s="22" t="str">
        <f t="shared" ref="Q125:Q134" si="42">IFERROR(AVERAGE(E125:G134),"")</f>
        <v/>
      </c>
      <c r="R125" s="22" t="str">
        <f t="shared" ref="R125:R134" si="43">IFERROR(AVERAGE(H125:J134),"")</f>
        <v/>
      </c>
      <c r="S125" s="22" t="str">
        <f t="shared" ref="S125:S134" si="44">IFERROR(AVERAGE(K125:M134),"")</f>
        <v/>
      </c>
    </row>
    <row r="126" spans="1:19" ht="17.25" x14ac:dyDescent="0.4">
      <c r="A126" t="s">
        <v>15</v>
      </c>
      <c r="B126" s="1">
        <v>0.9667</v>
      </c>
      <c r="C126" s="1">
        <v>0.9667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0">
        <f t="shared" si="40"/>
        <v>0.9005629629629629</v>
      </c>
      <c r="O126" s="35"/>
      <c r="P126" s="22">
        <f t="shared" si="41"/>
        <v>0.9005629629629629</v>
      </c>
      <c r="Q126" s="22" t="str">
        <f t="shared" si="42"/>
        <v/>
      </c>
      <c r="R126" s="22" t="str">
        <f t="shared" si="43"/>
        <v/>
      </c>
      <c r="S126" s="22" t="str">
        <f t="shared" si="44"/>
        <v/>
      </c>
    </row>
    <row r="127" spans="1:19" ht="17.25" x14ac:dyDescent="0.4">
      <c r="A127" t="s">
        <v>16</v>
      </c>
      <c r="B127" s="1">
        <v>0.87609999999999999</v>
      </c>
      <c r="C127" s="1">
        <v>0.87609999999999999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0">
        <f t="shared" si="40"/>
        <v>0.89229583333333329</v>
      </c>
      <c r="O127" s="35"/>
      <c r="P127" s="22">
        <f t="shared" si="41"/>
        <v>0.89229583333333329</v>
      </c>
      <c r="Q127" s="22" t="str">
        <f t="shared" si="42"/>
        <v/>
      </c>
      <c r="R127" s="22" t="str">
        <f t="shared" si="43"/>
        <v/>
      </c>
      <c r="S127" s="22" t="str">
        <f t="shared" si="44"/>
        <v/>
      </c>
    </row>
    <row r="128" spans="1:19" ht="17.25" x14ac:dyDescent="0.4">
      <c r="A128" t="s">
        <v>17</v>
      </c>
      <c r="B128" s="1">
        <v>0.94599999999999995</v>
      </c>
      <c r="C128" s="1">
        <v>0.94599999999999995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0">
        <f t="shared" si="40"/>
        <v>0.89460952380952374</v>
      </c>
      <c r="O128" s="35"/>
      <c r="P128" s="22">
        <f t="shared" si="41"/>
        <v>0.89460952380952374</v>
      </c>
      <c r="Q128" s="22" t="str">
        <f t="shared" si="42"/>
        <v/>
      </c>
      <c r="R128" s="22" t="str">
        <f t="shared" si="43"/>
        <v/>
      </c>
      <c r="S128" s="22" t="str">
        <f t="shared" si="44"/>
        <v/>
      </c>
    </row>
    <row r="129" spans="1:19" ht="17.25" x14ac:dyDescent="0.4">
      <c r="A129" t="s">
        <v>18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0">
        <f t="shared" si="40"/>
        <v>0.88604444444444441</v>
      </c>
      <c r="O129" s="35"/>
      <c r="P129" s="22">
        <f t="shared" si="41"/>
        <v>0.88604444444444441</v>
      </c>
      <c r="Q129" s="22" t="str">
        <f t="shared" si="42"/>
        <v/>
      </c>
      <c r="R129" s="22" t="str">
        <f t="shared" si="43"/>
        <v/>
      </c>
      <c r="S129" s="22" t="str">
        <f t="shared" si="44"/>
        <v/>
      </c>
    </row>
    <row r="130" spans="1:19" ht="17.25" x14ac:dyDescent="0.4">
      <c r="A130" t="s">
        <v>19</v>
      </c>
      <c r="B130" s="1">
        <v>0.66769999999999996</v>
      </c>
      <c r="C130" s="1">
        <v>0.66769999999999996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0">
        <f t="shared" si="40"/>
        <v>0.88604444444444441</v>
      </c>
      <c r="O130" s="35"/>
      <c r="P130" s="22">
        <f t="shared" si="41"/>
        <v>0.88604444444444441</v>
      </c>
      <c r="Q130" s="22" t="str">
        <f t="shared" si="42"/>
        <v/>
      </c>
      <c r="R130" s="22" t="str">
        <f t="shared" si="43"/>
        <v/>
      </c>
      <c r="S130" s="22" t="str">
        <f t="shared" si="44"/>
        <v/>
      </c>
    </row>
    <row r="131" spans="1:19" ht="17.25" x14ac:dyDescent="0.4">
      <c r="A131" t="s">
        <v>20</v>
      </c>
      <c r="B131" s="1">
        <v>0.89790000000000003</v>
      </c>
      <c r="C131" s="1">
        <v>0.89790000000000003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0">
        <f t="shared" si="40"/>
        <v>0.92971333333333328</v>
      </c>
      <c r="O131" s="35"/>
      <c r="P131" s="22">
        <f t="shared" si="41"/>
        <v>0.92971333333333328</v>
      </c>
      <c r="Q131" s="22" t="str">
        <f t="shared" si="42"/>
        <v/>
      </c>
      <c r="R131" s="22" t="str">
        <f t="shared" si="43"/>
        <v/>
      </c>
      <c r="S131" s="22" t="str">
        <f t="shared" si="44"/>
        <v/>
      </c>
    </row>
    <row r="132" spans="1:19" ht="17.25" x14ac:dyDescent="0.4">
      <c r="A132" t="s">
        <v>21</v>
      </c>
      <c r="B132" s="1">
        <v>0.93620000000000003</v>
      </c>
      <c r="C132" s="1">
        <v>0.93620000000000003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0">
        <f t="shared" si="40"/>
        <v>0.93766666666666676</v>
      </c>
      <c r="O132" s="35"/>
      <c r="P132" s="22">
        <f t="shared" si="41"/>
        <v>0.93766666666666676</v>
      </c>
      <c r="Q132" s="22" t="str">
        <f t="shared" si="42"/>
        <v/>
      </c>
      <c r="R132" s="22" t="str">
        <f t="shared" si="43"/>
        <v/>
      </c>
      <c r="S132" s="22" t="str">
        <f t="shared" si="44"/>
        <v/>
      </c>
    </row>
    <row r="133" spans="1:19" ht="17.25" x14ac:dyDescent="0.4">
      <c r="A133" t="s">
        <v>22</v>
      </c>
      <c r="B133" s="1">
        <v>0.9244</v>
      </c>
      <c r="C133" s="1">
        <v>0.9244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0">
        <f t="shared" si="40"/>
        <v>0.93815555555555574</v>
      </c>
      <c r="O133" s="35"/>
      <c r="P133" s="22">
        <f t="shared" si="41"/>
        <v>0.93815555555555574</v>
      </c>
      <c r="Q133" s="22" t="str">
        <f t="shared" si="42"/>
        <v/>
      </c>
      <c r="R133" s="22" t="str">
        <f t="shared" si="43"/>
        <v/>
      </c>
      <c r="S133" s="22" t="str">
        <f t="shared" si="44"/>
        <v/>
      </c>
    </row>
    <row r="134" spans="1:19" ht="17.25" x14ac:dyDescent="0.4">
      <c r="A134" t="s">
        <v>23</v>
      </c>
      <c r="B134" s="1">
        <v>0.98560000000000003</v>
      </c>
      <c r="C134" s="1">
        <v>0.98560000000000003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0">
        <f t="shared" si="40"/>
        <v>0.94503333333333328</v>
      </c>
      <c r="O134" s="35"/>
      <c r="P134" s="22">
        <f t="shared" si="41"/>
        <v>0.94503333333333328</v>
      </c>
      <c r="Q134" s="22" t="str">
        <f t="shared" si="42"/>
        <v/>
      </c>
      <c r="R134" s="22" t="str">
        <f t="shared" si="43"/>
        <v/>
      </c>
      <c r="S134" s="22" t="str">
        <f t="shared" si="44"/>
        <v/>
      </c>
    </row>
    <row r="135" spans="1:19" ht="17.25" x14ac:dyDescent="0.4">
      <c r="A135" s="28" t="s">
        <v>60</v>
      </c>
      <c r="B135" s="32">
        <f>IFERROR(SUBTOTAL(101,tblTemplate928[January]),"")</f>
        <v>0.90446666666666664</v>
      </c>
      <c r="C135" s="32">
        <f>IFERROR(SUBTOTAL(101,tblTemplate928[February]),"")</f>
        <v>0.90446666666666664</v>
      </c>
      <c r="D135" s="32" t="str">
        <f>IFERROR(SUBTOTAL(101,tblTemplate928[March]),"")</f>
        <v/>
      </c>
      <c r="E135" s="32" t="str">
        <f>IFERROR(SUBTOTAL(101,tblTemplate928[April]),"")</f>
        <v/>
      </c>
      <c r="F135" s="32" t="str">
        <f>IFERROR(SUBTOTAL(101,tblTemplate928[May]),"")</f>
        <v/>
      </c>
      <c r="G135" s="32" t="str">
        <f>IFERROR(SUBTOTAL(101,tblTemplate928[June]),"")</f>
        <v/>
      </c>
      <c r="H135" s="32" t="str">
        <f>IFERROR(SUBTOTAL(101,tblTemplate928[July]),"")</f>
        <v/>
      </c>
      <c r="I135" s="32" t="str">
        <f>IFERROR(SUBTOTAL(101,tblTemplate928[August]),"")</f>
        <v/>
      </c>
      <c r="J135" s="32" t="str">
        <f>IFERROR(SUBTOTAL(101,tblTemplate928[September]),"")</f>
        <v/>
      </c>
      <c r="K135" s="32" t="str">
        <f>IFERROR(SUBTOTAL(101,tblTemplate928[October]),"")</f>
        <v/>
      </c>
      <c r="L135" s="32" t="str">
        <f>IFERROR(SUBTOTAL(101,tblTemplate928[November]),"")</f>
        <v/>
      </c>
      <c r="M135" s="32" t="str">
        <f>IFERROR(SUBTOTAL(101,tblTemplate928[December]),"")</f>
        <v/>
      </c>
      <c r="N135" s="33">
        <f>IFERROR(SUBTOTAL(101,tblTemplate928[Average of Col9]),"")</f>
        <v>0.91145927645502645</v>
      </c>
      <c r="O135" s="30"/>
      <c r="P135" s="33">
        <f>IFERROR(SUBTOTAL(101,tblTemplate928[Q1]),"")</f>
        <v>0.91145927645502645</v>
      </c>
      <c r="Q135" s="33" t="str">
        <f>IFERROR(SUBTOTAL(101,tblTemplate928[Q2]),"")</f>
        <v/>
      </c>
      <c r="R135" s="33" t="str">
        <f>IFERROR(SUBTOTAL(101,tblTemplate928[Q3]),"")</f>
        <v/>
      </c>
      <c r="S135" s="33" t="str">
        <f>IFERROR(SUBTOTAL(101,tblTemplate928[Q4]),"")</f>
        <v/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Group2!B5:M5</xm:f>
              <xm:sqref>O5</xm:sqref>
            </x14:sparkline>
            <x14:sparkline>
              <xm:f>Group2!B6:M6</xm:f>
              <xm:sqref>O6</xm:sqref>
            </x14:sparkline>
            <x14:sparkline>
              <xm:f>Group2!B7:M7</xm:f>
              <xm:sqref>O7</xm:sqref>
            </x14:sparkline>
            <x14:sparkline>
              <xm:f>Group2!B8:M8</xm:f>
              <xm:sqref>O8</xm:sqref>
            </x14:sparkline>
            <x14:sparkline>
              <xm:f>Group2!B9:M9</xm:f>
              <xm:sqref>O9</xm:sqref>
            </x14:sparkline>
            <x14:sparkline>
              <xm:f>Group2!B10:M10</xm:f>
              <xm:sqref>O10</xm:sqref>
            </x14:sparkline>
            <x14:sparkline>
              <xm:f>Group2!B11:M11</xm:f>
              <xm:sqref>O11</xm:sqref>
            </x14:sparkline>
            <x14:sparkline>
              <xm:f>Group2!B12:M12</xm:f>
              <xm:sqref>O12</xm:sqref>
            </x14:sparkline>
            <x14:sparkline>
              <xm:f>Group2!B13:M13</xm:f>
              <xm:sqref>O13</xm:sqref>
            </x14:sparkline>
            <x14:sparkline>
              <xm:f>Group2!B14:M14</xm:f>
              <xm:sqref>O14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Group2!B125:M125</xm:f>
              <xm:sqref>O125</xm:sqref>
            </x14:sparkline>
            <x14:sparkline>
              <xm:f>Group2!B126:M126</xm:f>
              <xm:sqref>O126</xm:sqref>
            </x14:sparkline>
            <x14:sparkline>
              <xm:f>Group2!B127:M127</xm:f>
              <xm:sqref>O127</xm:sqref>
            </x14:sparkline>
            <x14:sparkline>
              <xm:f>Group2!B128:M128</xm:f>
              <xm:sqref>O128</xm:sqref>
            </x14:sparkline>
            <x14:sparkline>
              <xm:f>Group2!B129:M129</xm:f>
              <xm:sqref>O129</xm:sqref>
            </x14:sparkline>
            <x14:sparkline>
              <xm:f>Group2!B130:M130</xm:f>
              <xm:sqref>O130</xm:sqref>
            </x14:sparkline>
            <x14:sparkline>
              <xm:f>Group2!B131:M131</xm:f>
              <xm:sqref>O131</xm:sqref>
            </x14:sparkline>
            <x14:sparkline>
              <xm:f>Group2!B132:M132</xm:f>
              <xm:sqref>O132</xm:sqref>
            </x14:sparkline>
            <x14:sparkline>
              <xm:f>Group2!B133:M133</xm:f>
              <xm:sqref>O133</xm:sqref>
            </x14:sparkline>
            <x14:sparkline>
              <xm:f>Group2!B134:M134</xm:f>
              <xm:sqref>O134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Group2!B120:M120</xm:f>
              <xm:sqref>O120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Group2!B110:M110</xm:f>
              <xm:sqref>O110</xm:sqref>
            </x14:sparkline>
            <x14:sparkline>
              <xm:f>Group2!B111:M111</xm:f>
              <xm:sqref>O111</xm:sqref>
            </x14:sparkline>
            <x14:sparkline>
              <xm:f>Group2!B112:M112</xm:f>
              <xm:sqref>O112</xm:sqref>
            </x14:sparkline>
            <x14:sparkline>
              <xm:f>Group2!B113:M113</xm:f>
              <xm:sqref>O113</xm:sqref>
            </x14:sparkline>
            <x14:sparkline>
              <xm:f>Group2!B114:M114</xm:f>
              <xm:sqref>O114</xm:sqref>
            </x14:sparkline>
            <x14:sparkline>
              <xm:f>Group2!B115:M115</xm:f>
              <xm:sqref>O115</xm:sqref>
            </x14:sparkline>
            <x14:sparkline>
              <xm:f>Group2!B116:M116</xm:f>
              <xm:sqref>O116</xm:sqref>
            </x14:sparkline>
            <x14:sparkline>
              <xm:f>Group2!B117:M117</xm:f>
              <xm:sqref>O117</xm:sqref>
            </x14:sparkline>
            <x14:sparkline>
              <xm:f>Group2!B118:M118</xm:f>
              <xm:sqref>O118</xm:sqref>
            </x14:sparkline>
            <x14:sparkline>
              <xm:f>Group2!B119:M119</xm:f>
              <xm:sqref>O119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Group2!B105:M105</xm:f>
              <xm:sqref>O105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Group2!B135:M135</xm:f>
              <xm:sqref>O135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Group2!B90:M90</xm:f>
              <xm:sqref>O90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Group2!B80:M80</xm:f>
              <xm:sqref>O80</xm:sqref>
            </x14:sparkline>
            <x14:sparkline>
              <xm:f>Group2!B81:M81</xm:f>
              <xm:sqref>O81</xm:sqref>
            </x14:sparkline>
            <x14:sparkline>
              <xm:f>Group2!B82:M82</xm:f>
              <xm:sqref>O82</xm:sqref>
            </x14:sparkline>
            <x14:sparkline>
              <xm:f>Group2!B83:M83</xm:f>
              <xm:sqref>O83</xm:sqref>
            </x14:sparkline>
            <x14:sparkline>
              <xm:f>Group2!B84:M84</xm:f>
              <xm:sqref>O84</xm:sqref>
            </x14:sparkline>
            <x14:sparkline>
              <xm:f>Group2!B85:M85</xm:f>
              <xm:sqref>O85</xm:sqref>
            </x14:sparkline>
            <x14:sparkline>
              <xm:f>Group2!B86:M86</xm:f>
              <xm:sqref>O86</xm:sqref>
            </x14:sparkline>
            <x14:sparkline>
              <xm:f>Group2!B87:M87</xm:f>
              <xm:sqref>O87</xm:sqref>
            </x14:sparkline>
            <x14:sparkline>
              <xm:f>Group2!B88:M88</xm:f>
              <xm:sqref>O88</xm:sqref>
            </x14:sparkline>
            <x14:sparkline>
              <xm:f>Group2!B89:M89</xm:f>
              <xm:sqref>O89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Group2!B15:M15</xm:f>
              <xm:sqref>O15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Group2!B75:M75</xm:f>
              <xm:sqref>O75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Group2!B65:M65</xm:f>
              <xm:sqref>O65</xm:sqref>
            </x14:sparkline>
            <x14:sparkline>
              <xm:f>Group2!B66:M66</xm:f>
              <xm:sqref>O66</xm:sqref>
            </x14:sparkline>
            <x14:sparkline>
              <xm:f>Group2!B67:M67</xm:f>
              <xm:sqref>O67</xm:sqref>
            </x14:sparkline>
            <x14:sparkline>
              <xm:f>Group2!B68:M68</xm:f>
              <xm:sqref>O68</xm:sqref>
            </x14:sparkline>
            <x14:sparkline>
              <xm:f>Group2!B69:M69</xm:f>
              <xm:sqref>O69</xm:sqref>
            </x14:sparkline>
            <x14:sparkline>
              <xm:f>Group2!B70:M70</xm:f>
              <xm:sqref>O70</xm:sqref>
            </x14:sparkline>
            <x14:sparkline>
              <xm:f>Group2!B71:M71</xm:f>
              <xm:sqref>O71</xm:sqref>
            </x14:sparkline>
            <x14:sparkline>
              <xm:f>Group2!B72:M72</xm:f>
              <xm:sqref>O72</xm:sqref>
            </x14:sparkline>
            <x14:sparkline>
              <xm:f>Group2!B73:M73</xm:f>
              <xm:sqref>O73</xm:sqref>
            </x14:sparkline>
            <x14:sparkline>
              <xm:f>Group2!B74:M74</xm:f>
              <xm:sqref>O74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Group2!B60:M60</xm:f>
              <xm:sqref>O60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Group2!B50:M50</xm:f>
              <xm:sqref>O50</xm:sqref>
            </x14:sparkline>
            <x14:sparkline>
              <xm:f>Group2!B51:M51</xm:f>
              <xm:sqref>O51</xm:sqref>
            </x14:sparkline>
            <x14:sparkline>
              <xm:f>Group2!B52:M52</xm:f>
              <xm:sqref>O52</xm:sqref>
            </x14:sparkline>
            <x14:sparkline>
              <xm:f>Group2!B53:M53</xm:f>
              <xm:sqref>O53</xm:sqref>
            </x14:sparkline>
            <x14:sparkline>
              <xm:f>Group2!B54:M54</xm:f>
              <xm:sqref>O54</xm:sqref>
            </x14:sparkline>
            <x14:sparkline>
              <xm:f>Group2!B55:M55</xm:f>
              <xm:sqref>O55</xm:sqref>
            </x14:sparkline>
            <x14:sparkline>
              <xm:f>Group2!B56:M56</xm:f>
              <xm:sqref>O56</xm:sqref>
            </x14:sparkline>
            <x14:sparkline>
              <xm:f>Group2!B57:M57</xm:f>
              <xm:sqref>O57</xm:sqref>
            </x14:sparkline>
            <x14:sparkline>
              <xm:f>Group2!B58:M58</xm:f>
              <xm:sqref>O58</xm:sqref>
            </x14:sparkline>
            <x14:sparkline>
              <xm:f>Group2!B59:M59</xm:f>
              <xm:sqref>O59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Group2!B45:M45</xm:f>
              <xm:sqref>O45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Group2!B35:M35</xm:f>
              <xm:sqref>O35</xm:sqref>
            </x14:sparkline>
            <x14:sparkline>
              <xm:f>Group2!B36:M36</xm:f>
              <xm:sqref>O36</xm:sqref>
            </x14:sparkline>
            <x14:sparkline>
              <xm:f>Group2!B37:M37</xm:f>
              <xm:sqref>O37</xm:sqref>
            </x14:sparkline>
            <x14:sparkline>
              <xm:f>Group2!B38:M38</xm:f>
              <xm:sqref>O38</xm:sqref>
            </x14:sparkline>
            <x14:sparkline>
              <xm:f>Group2!B39:M39</xm:f>
              <xm:sqref>O39</xm:sqref>
            </x14:sparkline>
            <x14:sparkline>
              <xm:f>Group2!B40:M40</xm:f>
              <xm:sqref>O40</xm:sqref>
            </x14:sparkline>
            <x14:sparkline>
              <xm:f>Group2!B41:M41</xm:f>
              <xm:sqref>O41</xm:sqref>
            </x14:sparkline>
            <x14:sparkline>
              <xm:f>Group2!B42:M42</xm:f>
              <xm:sqref>O42</xm:sqref>
            </x14:sparkline>
            <x14:sparkline>
              <xm:f>Group2!B43:M43</xm:f>
              <xm:sqref>O43</xm:sqref>
            </x14:sparkline>
            <x14:sparkline>
              <xm:f>Group2!B44:M44</xm:f>
              <xm:sqref>O44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Group2!B30:M30</xm:f>
              <xm:sqref>O30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Group2!B95:M95</xm:f>
              <xm:sqref>O95</xm:sqref>
            </x14:sparkline>
            <x14:sparkline>
              <xm:f>Group2!B96:M96</xm:f>
              <xm:sqref>O96</xm:sqref>
            </x14:sparkline>
            <x14:sparkline>
              <xm:f>Group2!B97:M97</xm:f>
              <xm:sqref>O97</xm:sqref>
            </x14:sparkline>
            <x14:sparkline>
              <xm:f>Group2!B98:M98</xm:f>
              <xm:sqref>O98</xm:sqref>
            </x14:sparkline>
            <x14:sparkline>
              <xm:f>Group2!B99:M99</xm:f>
              <xm:sqref>O99</xm:sqref>
            </x14:sparkline>
            <x14:sparkline>
              <xm:f>Group2!B100:M100</xm:f>
              <xm:sqref>O100</xm:sqref>
            </x14:sparkline>
            <x14:sparkline>
              <xm:f>Group2!B101:M101</xm:f>
              <xm:sqref>O101</xm:sqref>
            </x14:sparkline>
            <x14:sparkline>
              <xm:f>Group2!B102:M102</xm:f>
              <xm:sqref>O102</xm:sqref>
            </x14:sparkline>
            <x14:sparkline>
              <xm:f>Group2!B103:M103</xm:f>
              <xm:sqref>O103</xm:sqref>
            </x14:sparkline>
            <x14:sparkline>
              <xm:f>Group2!B104:M104</xm:f>
              <xm:sqref>O104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Group2!B20:M20</xm:f>
              <xm:sqref>O20</xm:sqref>
            </x14:sparkline>
            <x14:sparkline>
              <xm:f>Group2!B21:M21</xm:f>
              <xm:sqref>O21</xm:sqref>
            </x14:sparkline>
            <x14:sparkline>
              <xm:f>Group2!B22:M22</xm:f>
              <xm:sqref>O22</xm:sqref>
            </x14:sparkline>
            <x14:sparkline>
              <xm:f>Group2!B23:M23</xm:f>
              <xm:sqref>O23</xm:sqref>
            </x14:sparkline>
            <x14:sparkline>
              <xm:f>Group2!B24:M24</xm:f>
              <xm:sqref>O24</xm:sqref>
            </x14:sparkline>
            <x14:sparkline>
              <xm:f>Group2!B25:M25</xm:f>
              <xm:sqref>O25</xm:sqref>
            </x14:sparkline>
            <x14:sparkline>
              <xm:f>Group2!B26:M26</xm:f>
              <xm:sqref>O26</xm:sqref>
            </x14:sparkline>
            <x14:sparkline>
              <xm:f>Group2!B27:M27</xm:f>
              <xm:sqref>O27</xm:sqref>
            </x14:sparkline>
            <x14:sparkline>
              <xm:f>Group2!B28:M28</xm:f>
              <xm:sqref>O28</xm:sqref>
            </x14:sparkline>
            <x14:sparkline>
              <xm:f>Group2!B29:M29</xm:f>
              <xm:sqref>O29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Template3"/>
  <dimension ref="A1:S135"/>
  <sheetViews>
    <sheetView workbookViewId="0">
      <selection activeCell="N4" sqref="N4"/>
    </sheetView>
  </sheetViews>
  <sheetFormatPr defaultRowHeight="15" x14ac:dyDescent="0.25"/>
  <cols>
    <col min="1" max="1" width="14.140625" bestFit="1" customWidth="1"/>
    <col min="2" max="2" width="9.85546875" customWidth="1"/>
    <col min="3" max="3" width="11" customWidth="1"/>
    <col min="4" max="4" width="8.7109375" customWidth="1"/>
    <col min="5" max="8" width="7.7109375" bestFit="1" customWidth="1"/>
    <col min="9" max="9" width="9.28515625" customWidth="1"/>
    <col min="10" max="10" width="13" customWidth="1"/>
    <col min="11" max="11" width="10.28515625" customWidth="1"/>
    <col min="12" max="12" width="12.5703125" customWidth="1"/>
    <col min="13" max="13" width="12.28515625" customWidth="1"/>
    <col min="14" max="14" width="11.85546875" customWidth="1"/>
    <col min="15" max="15" width="13.85546875" customWidth="1"/>
    <col min="16" max="19" width="7.7109375" bestFit="1" customWidth="1"/>
  </cols>
  <sheetData>
    <row r="1" spans="1:19" ht="18.75" x14ac:dyDescent="0.3">
      <c r="A1" s="5" t="s">
        <v>4</v>
      </c>
    </row>
    <row r="3" spans="1:19" ht="18.75" x14ac:dyDescent="0.3">
      <c r="A3" s="4" t="str">
        <f>'Master Data'!B1</f>
        <v>Col1</v>
      </c>
    </row>
    <row r="4" spans="1:19" ht="30" customHeight="1" x14ac:dyDescent="0.25">
      <c r="A4" s="10" t="s">
        <v>43</v>
      </c>
      <c r="B4" s="10" t="s">
        <v>44</v>
      </c>
      <c r="C4" s="10" t="s">
        <v>1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  <c r="J4" s="10" t="s">
        <v>51</v>
      </c>
      <c r="K4" s="10" t="s">
        <v>52</v>
      </c>
      <c r="L4" s="10" t="s">
        <v>53</v>
      </c>
      <c r="M4" s="10" t="s">
        <v>54</v>
      </c>
      <c r="N4" s="9" t="s">
        <v>63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</row>
    <row r="5" spans="1:19" x14ac:dyDescent="0.25">
      <c r="A5" t="s">
        <v>24</v>
      </c>
      <c r="B5" s="14">
        <v>99.56</v>
      </c>
      <c r="C5" s="14">
        <v>99.56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>
        <f t="shared" ref="N5:N11" si="0">IFERROR(AVERAGE(B5:M14),"")</f>
        <v>88.386111111111106</v>
      </c>
      <c r="O5" s="25"/>
      <c r="P5" s="14">
        <f t="shared" ref="P5:P11" si="1">IFERROR(AVERAGE(B5:D14),"")</f>
        <v>88.386111111111106</v>
      </c>
      <c r="Q5" s="14" t="str">
        <f t="shared" ref="Q5:Q11" si="2">IFERROR(AVERAGE(E5:G14),"")</f>
        <v/>
      </c>
      <c r="R5" s="14" t="str">
        <f t="shared" ref="R5:R11" si="3">IFERROR(AVERAGE(H5:J14),"")</f>
        <v/>
      </c>
      <c r="S5" s="14" t="str">
        <f t="shared" ref="S5:S11" si="4">IFERROR(AVERAGE(K5:M14),"")</f>
        <v/>
      </c>
    </row>
    <row r="6" spans="1:19" x14ac:dyDescent="0.25">
      <c r="A6" t="s">
        <v>25</v>
      </c>
      <c r="B6" s="14">
        <v>103.37</v>
      </c>
      <c r="C6" s="14">
        <v>103.37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>
        <f t="shared" si="0"/>
        <v>87.199666666666673</v>
      </c>
      <c r="O6" s="26"/>
      <c r="P6" s="27">
        <f t="shared" si="1"/>
        <v>87.199666666666673</v>
      </c>
      <c r="Q6" s="14" t="str">
        <f t="shared" si="2"/>
        <v/>
      </c>
      <c r="R6" s="14" t="str">
        <f t="shared" si="3"/>
        <v/>
      </c>
      <c r="S6" s="14" t="str">
        <f t="shared" si="4"/>
        <v/>
      </c>
    </row>
    <row r="7" spans="1:19" x14ac:dyDescent="0.25">
      <c r="A7" t="s">
        <v>26</v>
      </c>
      <c r="B7" s="14">
        <v>96.9</v>
      </c>
      <c r="C7" s="14">
        <v>96.9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 t="shared" si="0"/>
        <v>85.178375000000017</v>
      </c>
      <c r="O7" s="26"/>
      <c r="P7" s="27">
        <f t="shared" si="1"/>
        <v>85.178375000000017</v>
      </c>
      <c r="Q7" s="14" t="str">
        <f t="shared" si="2"/>
        <v/>
      </c>
      <c r="R7" s="14" t="str">
        <f t="shared" si="3"/>
        <v/>
      </c>
      <c r="S7" s="14" t="str">
        <f t="shared" si="4"/>
        <v/>
      </c>
    </row>
    <row r="8" spans="1:19" x14ac:dyDescent="0.25">
      <c r="A8" t="s">
        <v>27</v>
      </c>
      <c r="B8" s="14">
        <v>92.03</v>
      </c>
      <c r="C8" s="14">
        <v>92.03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 t="shared" si="0"/>
        <v>83.503857142857171</v>
      </c>
      <c r="O8" s="26"/>
      <c r="P8" s="27">
        <f t="shared" si="1"/>
        <v>83.503857142857171</v>
      </c>
      <c r="Q8" s="14" t="str">
        <f t="shared" si="2"/>
        <v/>
      </c>
      <c r="R8" s="14" t="str">
        <f t="shared" si="3"/>
        <v/>
      </c>
      <c r="S8" s="14" t="str">
        <f t="shared" si="4"/>
        <v/>
      </c>
    </row>
    <row r="9" spans="1:19" x14ac:dyDescent="0.25">
      <c r="A9" t="s">
        <v>28</v>
      </c>
      <c r="B9" s="14">
        <v>16.010000000000002</v>
      </c>
      <c r="C9" s="14">
        <v>16.010000000000002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f t="shared" si="0"/>
        <v>82.08283333333334</v>
      </c>
      <c r="O9" s="26"/>
      <c r="P9" s="27">
        <f t="shared" si="1"/>
        <v>82.08283333333334</v>
      </c>
      <c r="Q9" s="14" t="str">
        <f t="shared" si="2"/>
        <v/>
      </c>
      <c r="R9" s="14" t="str">
        <f t="shared" si="3"/>
        <v/>
      </c>
      <c r="S9" s="14" t="str">
        <f t="shared" si="4"/>
        <v/>
      </c>
    </row>
    <row r="10" spans="1:19" ht="15" customHeight="1" x14ac:dyDescent="0.25">
      <c r="A10" t="s">
        <v>29</v>
      </c>
      <c r="B10" s="14">
        <v>181.05</v>
      </c>
      <c r="C10" s="14">
        <v>181.05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>
        <f t="shared" si="0"/>
        <v>95.29740000000001</v>
      </c>
      <c r="O10" s="26"/>
      <c r="P10" s="27">
        <f t="shared" si="1"/>
        <v>95.29740000000001</v>
      </c>
      <c r="Q10" s="14" t="str">
        <f t="shared" si="2"/>
        <v/>
      </c>
      <c r="R10" s="14" t="str">
        <f t="shared" si="3"/>
        <v/>
      </c>
      <c r="S10" s="14" t="str">
        <f t="shared" si="4"/>
        <v/>
      </c>
    </row>
    <row r="11" spans="1:19" x14ac:dyDescent="0.25">
      <c r="A11" t="s">
        <v>30</v>
      </c>
      <c r="B11" s="14">
        <v>38.090000000000003</v>
      </c>
      <c r="C11" s="14">
        <v>38.090000000000003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>
        <f t="shared" si="0"/>
        <v>89.133400000000009</v>
      </c>
      <c r="O11" s="26"/>
      <c r="P11" s="27">
        <f t="shared" si="1"/>
        <v>89.133400000000009</v>
      </c>
      <c r="Q11" s="14" t="str">
        <f t="shared" si="2"/>
        <v/>
      </c>
      <c r="R11" s="14" t="str">
        <f t="shared" si="3"/>
        <v/>
      </c>
      <c r="S11" s="14" t="str">
        <f t="shared" si="4"/>
        <v/>
      </c>
    </row>
    <row r="12" spans="1:19" x14ac:dyDescent="0.25">
      <c r="A12" t="s">
        <v>31</v>
      </c>
      <c r="B12" s="14">
        <v>119.75</v>
      </c>
      <c r="C12" s="14">
        <v>119.75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>IFERROR(AVERAGE(B12:M30),"")</f>
        <v>152.11242307692314</v>
      </c>
      <c r="O12" s="26"/>
      <c r="P12" s="27">
        <f>IFERROR(AVERAGE(B12:D30),"")</f>
        <v>152.11242307692314</v>
      </c>
      <c r="Q12" s="14" t="str">
        <f>IFERROR(AVERAGE(E12:G30),"")</f>
        <v/>
      </c>
      <c r="R12" s="14" t="str">
        <f>IFERROR(AVERAGE(H12:J30),"")</f>
        <v/>
      </c>
      <c r="S12" s="14" t="str">
        <f>IFERROR(AVERAGE(K12:M30),"")</f>
        <v/>
      </c>
    </row>
    <row r="13" spans="1:19" x14ac:dyDescent="0.25">
      <c r="A13" t="s">
        <v>22</v>
      </c>
      <c r="B13" s="14"/>
      <c r="C13" s="14">
        <v>6.71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>
        <f>IFERROR(AVERAGE(B13:M22),"")</f>
        <v>142.53939999999997</v>
      </c>
      <c r="O13" s="26"/>
      <c r="P13" s="27">
        <f>IFERROR(AVERAGE(B13:D22),"")</f>
        <v>142.53939999999997</v>
      </c>
      <c r="Q13" s="14" t="str">
        <f>IFERROR(AVERAGE(E13:G22),"")</f>
        <v/>
      </c>
      <c r="R13" s="14" t="str">
        <f>IFERROR(AVERAGE(H13:J22),"")</f>
        <v/>
      </c>
      <c r="S13" s="14" t="str">
        <f>IFERROR(AVERAGE(K13:M22),"")</f>
        <v/>
      </c>
    </row>
    <row r="14" spans="1:19" x14ac:dyDescent="0.25">
      <c r="A14" t="s">
        <v>23</v>
      </c>
      <c r="B14" s="14"/>
      <c r="C14" s="14">
        <v>90.72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f>IFERROR(AVERAGE(B14:M23),"")</f>
        <v>165.52945454545454</v>
      </c>
      <c r="O14" s="26"/>
      <c r="P14" s="27">
        <f>IFERROR(AVERAGE(B14:D23),"")</f>
        <v>165.52945454545454</v>
      </c>
      <c r="Q14" s="14" t="str">
        <f>IFERROR(AVERAGE(E14:G23),"")</f>
        <v/>
      </c>
      <c r="R14" s="14" t="str">
        <f>IFERROR(AVERAGE(H14:J23),"")</f>
        <v/>
      </c>
      <c r="S14" s="14" t="str">
        <f>IFERROR(AVERAGE(K14:M23),"")</f>
        <v/>
      </c>
    </row>
    <row r="15" spans="1:19" ht="17.25" x14ac:dyDescent="0.4">
      <c r="A15" s="28" t="s">
        <v>60</v>
      </c>
      <c r="B15" s="29">
        <f>IFERROR(SUBTOTAL(101,tblTemplate129[January]),"")</f>
        <v>93.345000000000013</v>
      </c>
      <c r="C15" s="29">
        <f>IFERROR(SUBTOTAL(101,tblTemplate129[February]),"")</f>
        <v>84.419000000000011</v>
      </c>
      <c r="D15" s="29" t="str">
        <f>IFERROR(SUBTOTAL(101,tblTemplate129[March]),"")</f>
        <v/>
      </c>
      <c r="E15" s="29" t="str">
        <f>IFERROR(SUBTOTAL(101,tblTemplate129[April]),"")</f>
        <v/>
      </c>
      <c r="F15" s="29" t="str">
        <f>IFERROR(SUBTOTAL(101,tblTemplate129[May]),"")</f>
        <v/>
      </c>
      <c r="G15" s="29" t="str">
        <f>IFERROR(SUBTOTAL(101,tblTemplate129[June]),"")</f>
        <v/>
      </c>
      <c r="H15" s="29" t="str">
        <f>IFERROR(SUBTOTAL(101,tblTemplate129[July]),"")</f>
        <v/>
      </c>
      <c r="I15" s="29" t="str">
        <f>IFERROR(SUBTOTAL(101,tblTemplate129[August]),"")</f>
        <v/>
      </c>
      <c r="J15" s="29" t="str">
        <f>IFERROR(SUBTOTAL(101,tblTemplate129[September]),"")</f>
        <v/>
      </c>
      <c r="K15" s="29" t="str">
        <f>IFERROR(SUBTOTAL(101,tblTemplate129[October]),"")</f>
        <v/>
      </c>
      <c r="L15" s="29" t="str">
        <f>IFERROR(SUBTOTAL(101,tblTemplate129[November]),"")</f>
        <v/>
      </c>
      <c r="M15" s="29" t="str">
        <f>IFERROR(SUBTOTAL(101,tblTemplate129[December]),"")</f>
        <v/>
      </c>
      <c r="N15" s="29">
        <f>IFERROR(SUBTOTAL(101,tblTemplate129[Average of Col1]),"")</f>
        <v>107.09629208763461</v>
      </c>
      <c r="O15" s="30"/>
      <c r="P15" s="29">
        <f>IFERROR(SUBTOTAL(101,tblTemplate129[Q1]),"")</f>
        <v>107.09629208763461</v>
      </c>
      <c r="Q15" s="29" t="str">
        <f>IFERROR(SUBTOTAL(101,tblTemplate129[Q2]),"")</f>
        <v/>
      </c>
      <c r="R15" s="29" t="str">
        <f>IFERROR(SUBTOTAL(101,tblTemplate129[Q3]),"")</f>
        <v/>
      </c>
      <c r="S15" s="29" t="str">
        <f>IFERROR(SUBTOTAL(101,tblTemplate129[Q4]),"")</f>
        <v/>
      </c>
    </row>
    <row r="16" spans="1:19" ht="15" customHeight="1" x14ac:dyDescent="0.25"/>
    <row r="17" spans="1:19" ht="30" customHeight="1" x14ac:dyDescent="0.25"/>
    <row r="18" spans="1:19" ht="18.75" x14ac:dyDescent="0.3">
      <c r="A18" s="4" t="str">
        <f>'Master Data'!C1</f>
        <v>Col2</v>
      </c>
    </row>
    <row r="19" spans="1:19" ht="30" customHeight="1" x14ac:dyDescent="0.25">
      <c r="A19" s="10" t="s">
        <v>43</v>
      </c>
      <c r="B19" s="10" t="s">
        <v>44</v>
      </c>
      <c r="C19" s="10" t="s">
        <v>1</v>
      </c>
      <c r="D19" s="10" t="s">
        <v>45</v>
      </c>
      <c r="E19" s="10" t="s">
        <v>46</v>
      </c>
      <c r="F19" s="10" t="s">
        <v>47</v>
      </c>
      <c r="G19" s="10" t="s">
        <v>48</v>
      </c>
      <c r="H19" s="10" t="s">
        <v>49</v>
      </c>
      <c r="I19" s="10" t="s">
        <v>50</v>
      </c>
      <c r="J19" s="10" t="s">
        <v>51</v>
      </c>
      <c r="K19" s="10" t="s">
        <v>52</v>
      </c>
      <c r="L19" s="10" t="s">
        <v>53</v>
      </c>
      <c r="M19" s="10" t="s">
        <v>54</v>
      </c>
      <c r="N19" s="9" t="s">
        <v>64</v>
      </c>
      <c r="O19" s="11" t="s">
        <v>55</v>
      </c>
      <c r="P19" s="11" t="s">
        <v>56</v>
      </c>
      <c r="Q19" s="11" t="s">
        <v>57</v>
      </c>
      <c r="R19" s="11" t="s">
        <v>58</v>
      </c>
      <c r="S19" s="11" t="s">
        <v>59</v>
      </c>
    </row>
    <row r="20" spans="1:19" x14ac:dyDescent="0.25">
      <c r="A20" t="s">
        <v>24</v>
      </c>
      <c r="B20" s="14">
        <v>150.22999999999999</v>
      </c>
      <c r="C20" s="14">
        <v>150.22999999999999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>
        <f t="shared" ref="N20:N26" si="5">IFERROR(AVERAGE(B20:M29),"")</f>
        <v>171.96055555555554</v>
      </c>
      <c r="O20" s="25"/>
      <c r="P20" s="14">
        <f t="shared" ref="P20:P26" si="6">IFERROR(AVERAGE(B20:D29),"")</f>
        <v>171.96055555555554</v>
      </c>
      <c r="Q20" s="14" t="str">
        <f t="shared" ref="Q20:Q26" si="7">IFERROR(AVERAGE(E20:G29),"")</f>
        <v/>
      </c>
      <c r="R20" s="14" t="str">
        <f t="shared" ref="R20:R26" si="8">IFERROR(AVERAGE(H20:J29),"")</f>
        <v/>
      </c>
      <c r="S20" s="14" t="str">
        <f t="shared" ref="S20:S26" si="9">IFERROR(AVERAGE(K20:M29),"")</f>
        <v/>
      </c>
    </row>
    <row r="21" spans="1:19" x14ac:dyDescent="0.25">
      <c r="A21" t="s">
        <v>25</v>
      </c>
      <c r="B21" s="14">
        <v>241.31</v>
      </c>
      <c r="C21" s="14">
        <v>241.31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f t="shared" si="5"/>
        <v>174.43161111111112</v>
      </c>
      <c r="O21" s="26"/>
      <c r="P21" s="27">
        <f t="shared" si="6"/>
        <v>174.43161111111112</v>
      </c>
      <c r="Q21" s="14" t="str">
        <f t="shared" si="7"/>
        <v/>
      </c>
      <c r="R21" s="14" t="str">
        <f t="shared" si="8"/>
        <v/>
      </c>
      <c r="S21" s="14" t="str">
        <f t="shared" si="9"/>
        <v/>
      </c>
    </row>
    <row r="22" spans="1:19" ht="15" customHeight="1" x14ac:dyDescent="0.25">
      <c r="A22" t="s">
        <v>26</v>
      </c>
      <c r="B22" s="14">
        <v>183.56</v>
      </c>
      <c r="C22" s="14">
        <v>183.56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>
        <f t="shared" si="5"/>
        <v>166.07181250000002</v>
      </c>
      <c r="O22" s="26"/>
      <c r="P22" s="27">
        <f t="shared" si="6"/>
        <v>166.07181250000002</v>
      </c>
      <c r="Q22" s="14" t="str">
        <f t="shared" si="7"/>
        <v/>
      </c>
      <c r="R22" s="14" t="str">
        <f t="shared" si="8"/>
        <v/>
      </c>
      <c r="S22" s="14" t="str">
        <f t="shared" si="9"/>
        <v/>
      </c>
    </row>
    <row r="23" spans="1:19" x14ac:dyDescent="0.25">
      <c r="A23" t="s">
        <v>27</v>
      </c>
      <c r="B23" s="14">
        <v>201.07</v>
      </c>
      <c r="C23" s="14">
        <v>201.07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>
        <f t="shared" si="5"/>
        <v>163.57350000000002</v>
      </c>
      <c r="O23" s="26"/>
      <c r="P23" s="27">
        <f t="shared" si="6"/>
        <v>163.57350000000002</v>
      </c>
      <c r="Q23" s="14" t="str">
        <f t="shared" si="7"/>
        <v/>
      </c>
      <c r="R23" s="14" t="str">
        <f t="shared" si="8"/>
        <v/>
      </c>
      <c r="S23" s="14" t="str">
        <f t="shared" si="9"/>
        <v/>
      </c>
    </row>
    <row r="24" spans="1:19" x14ac:dyDescent="0.25">
      <c r="A24" t="s">
        <v>28</v>
      </c>
      <c r="B24" s="14">
        <v>72.5</v>
      </c>
      <c r="C24" s="14">
        <v>72.5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>
        <f t="shared" si="5"/>
        <v>157.32408333333333</v>
      </c>
      <c r="O24" s="26"/>
      <c r="P24" s="27">
        <f t="shared" si="6"/>
        <v>157.32408333333333</v>
      </c>
      <c r="Q24" s="14" t="str">
        <f t="shared" si="7"/>
        <v/>
      </c>
      <c r="R24" s="14" t="str">
        <f t="shared" si="8"/>
        <v/>
      </c>
      <c r="S24" s="14" t="str">
        <f t="shared" si="9"/>
        <v/>
      </c>
    </row>
    <row r="25" spans="1:19" x14ac:dyDescent="0.25">
      <c r="A25" t="s">
        <v>29</v>
      </c>
      <c r="B25" s="14">
        <v>307.05</v>
      </c>
      <c r="C25" s="14">
        <v>307.05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>
        <f t="shared" si="5"/>
        <v>174.28889999999998</v>
      </c>
      <c r="O25" s="26"/>
      <c r="P25" s="27">
        <f t="shared" si="6"/>
        <v>174.28889999999998</v>
      </c>
      <c r="Q25" s="14" t="str">
        <f t="shared" si="7"/>
        <v/>
      </c>
      <c r="R25" s="14" t="str">
        <f t="shared" si="8"/>
        <v/>
      </c>
      <c r="S25" s="14" t="str">
        <f t="shared" si="9"/>
        <v/>
      </c>
    </row>
    <row r="26" spans="1:19" x14ac:dyDescent="0.25">
      <c r="A26" t="s">
        <v>30</v>
      </c>
      <c r="B26" s="14">
        <v>106.9</v>
      </c>
      <c r="C26" s="14">
        <v>106.9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>
        <f t="shared" si="5"/>
        <v>113.03689999999999</v>
      </c>
      <c r="O26" s="26"/>
      <c r="P26" s="27">
        <f t="shared" si="6"/>
        <v>113.03689999999999</v>
      </c>
      <c r="Q26" s="14" t="str">
        <f t="shared" si="7"/>
        <v/>
      </c>
      <c r="R26" s="14" t="str">
        <f t="shared" si="8"/>
        <v/>
      </c>
      <c r="S26" s="14" t="str">
        <f t="shared" si="9"/>
        <v/>
      </c>
    </row>
    <row r="27" spans="1:19" x14ac:dyDescent="0.25">
      <c r="A27" t="s">
        <v>31</v>
      </c>
      <c r="B27" s="14">
        <v>153.78</v>
      </c>
      <c r="C27" s="14">
        <v>153.78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>
        <f>IFERROR(AVERAGE(B27:M45),"")</f>
        <v>35.691144230769233</v>
      </c>
      <c r="O27" s="26"/>
      <c r="P27" s="27">
        <f>IFERROR(AVERAGE(B27:D45),"")</f>
        <v>35.691144230769233</v>
      </c>
      <c r="Q27" s="14" t="str">
        <f>IFERROR(AVERAGE(E27:G45),"")</f>
        <v/>
      </c>
      <c r="R27" s="14" t="str">
        <f>IFERROR(AVERAGE(H27:J45),"")</f>
        <v/>
      </c>
      <c r="S27" s="14" t="str">
        <f>IFERROR(AVERAGE(K27:M45),"")</f>
        <v/>
      </c>
    </row>
    <row r="28" spans="1:19" ht="15" customHeight="1" x14ac:dyDescent="0.25">
      <c r="A28" t="s">
        <v>22</v>
      </c>
      <c r="B28" s="14"/>
      <c r="C28" s="14">
        <v>120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>
        <f>IFERROR(AVERAGE(B28:M37),"")</f>
        <v>61.144899999999993</v>
      </c>
      <c r="O28" s="26"/>
      <c r="P28" s="27">
        <f>IFERROR(AVERAGE(B28:D37),"")</f>
        <v>61.144899999999993</v>
      </c>
      <c r="Q28" s="14" t="str">
        <f>IFERROR(AVERAGE(E28:G37),"")</f>
        <v/>
      </c>
      <c r="R28" s="14" t="str">
        <f>IFERROR(AVERAGE(H28:J37),"")</f>
        <v/>
      </c>
      <c r="S28" s="14" t="str">
        <f>IFERROR(AVERAGE(K28:M37),"")</f>
        <v/>
      </c>
    </row>
    <row r="29" spans="1:19" x14ac:dyDescent="0.25">
      <c r="A29" t="s">
        <v>23</v>
      </c>
      <c r="B29" s="14"/>
      <c r="C29" s="14">
        <v>142.49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>
        <f>IFERROR(AVERAGE(B29:M38),"")</f>
        <v>44.791727272727265</v>
      </c>
      <c r="O29" s="26"/>
      <c r="P29" s="27">
        <f>IFERROR(AVERAGE(B29:D38),"")</f>
        <v>44.791727272727265</v>
      </c>
      <c r="Q29" s="14" t="str">
        <f>IFERROR(AVERAGE(E29:G38),"")</f>
        <v/>
      </c>
      <c r="R29" s="14" t="str">
        <f>IFERROR(AVERAGE(H29:J38),"")</f>
        <v/>
      </c>
      <c r="S29" s="14" t="str">
        <f>IFERROR(AVERAGE(K29:M38),"")</f>
        <v/>
      </c>
    </row>
    <row r="30" spans="1:19" ht="30" customHeight="1" x14ac:dyDescent="0.4">
      <c r="A30" s="28" t="s">
        <v>60</v>
      </c>
      <c r="B30" s="29">
        <f>IFERROR(SUBTOTAL(101,tblTemplate230[January]),"")</f>
        <v>177.04999999999998</v>
      </c>
      <c r="C30" s="29">
        <f>IFERROR(SUBTOTAL(101,tblTemplate230[February]),"")</f>
        <v>167.88899999999998</v>
      </c>
      <c r="D30" s="29" t="str">
        <f>IFERROR(SUBTOTAL(101,tblTemplate230[March]),"")</f>
        <v/>
      </c>
      <c r="E30" s="29" t="str">
        <f>IFERROR(SUBTOTAL(101,tblTemplate230[April]),"")</f>
        <v/>
      </c>
      <c r="F30" s="29" t="str">
        <f>IFERROR(SUBTOTAL(101,tblTemplate230[May]),"")</f>
        <v/>
      </c>
      <c r="G30" s="29" t="str">
        <f>IFERROR(SUBTOTAL(101,tblTemplate230[June]),"")</f>
        <v/>
      </c>
      <c r="H30" s="29" t="str">
        <f>IFERROR(SUBTOTAL(101,tblTemplate230[July]),"")</f>
        <v/>
      </c>
      <c r="I30" s="29" t="str">
        <f>IFERROR(SUBTOTAL(101,tblTemplate230[August]),"")</f>
        <v/>
      </c>
      <c r="J30" s="29" t="str">
        <f>IFERROR(SUBTOTAL(101,tblTemplate230[September]),"")</f>
        <v/>
      </c>
      <c r="K30" s="29" t="str">
        <f>IFERROR(SUBTOTAL(101,tblTemplate230[October]),"")</f>
        <v/>
      </c>
      <c r="L30" s="29" t="str">
        <f>IFERROR(SUBTOTAL(101,tblTemplate230[November]),"")</f>
        <v/>
      </c>
      <c r="M30" s="29" t="str">
        <f>IFERROR(SUBTOTAL(101,tblTemplate230[December]),"")</f>
        <v/>
      </c>
      <c r="N30" s="29">
        <f>IFERROR(SUBTOTAL(101,tblTemplate230[Average of Col2]),"")</f>
        <v>126.23151340034963</v>
      </c>
      <c r="O30" s="30"/>
      <c r="P30" s="29">
        <f>IFERROR(SUBTOTAL(101,tblTemplate230[Q1]),"")</f>
        <v>126.23151340034963</v>
      </c>
      <c r="Q30" s="29" t="str">
        <f>IFERROR(SUBTOTAL(101,tblTemplate230[Q2]),"")</f>
        <v/>
      </c>
      <c r="R30" s="29" t="str">
        <f>IFERROR(SUBTOTAL(101,tblTemplate230[Q3]),"")</f>
        <v/>
      </c>
      <c r="S30" s="29" t="str">
        <f>IFERROR(SUBTOTAL(101,tblTemplate230[Q4]),"")</f>
        <v/>
      </c>
    </row>
    <row r="33" spans="1:19" ht="18.75" x14ac:dyDescent="0.3">
      <c r="A33" s="4" t="str">
        <f>'Master Data'!D1</f>
        <v>Col3</v>
      </c>
    </row>
    <row r="34" spans="1:19" ht="30" customHeight="1" x14ac:dyDescent="0.25">
      <c r="A34" s="10" t="s">
        <v>43</v>
      </c>
      <c r="B34" s="10" t="s">
        <v>44</v>
      </c>
      <c r="C34" s="10" t="s">
        <v>1</v>
      </c>
      <c r="D34" s="10" t="s">
        <v>45</v>
      </c>
      <c r="E34" s="10" t="s">
        <v>46</v>
      </c>
      <c r="F34" s="10" t="s">
        <v>47</v>
      </c>
      <c r="G34" s="10" t="s">
        <v>48</v>
      </c>
      <c r="H34" s="10" t="s">
        <v>49</v>
      </c>
      <c r="I34" s="10" t="s">
        <v>50</v>
      </c>
      <c r="J34" s="10" t="s">
        <v>51</v>
      </c>
      <c r="K34" s="10" t="s">
        <v>52</v>
      </c>
      <c r="L34" s="10" t="s">
        <v>53</v>
      </c>
      <c r="M34" s="10" t="s">
        <v>54</v>
      </c>
      <c r="N34" s="9" t="s">
        <v>65</v>
      </c>
      <c r="O34" s="11" t="s">
        <v>55</v>
      </c>
      <c r="P34" s="11" t="s">
        <v>56</v>
      </c>
      <c r="Q34" s="11" t="s">
        <v>57</v>
      </c>
      <c r="R34" s="11" t="s">
        <v>58</v>
      </c>
      <c r="S34" s="11" t="s">
        <v>59</v>
      </c>
    </row>
    <row r="35" spans="1:19" x14ac:dyDescent="0.25">
      <c r="A35" t="s">
        <v>24</v>
      </c>
      <c r="B35" s="14">
        <v>0.79</v>
      </c>
      <c r="C35" s="14">
        <v>0.79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>
        <f t="shared" ref="N35:N41" si="10">IFERROR(AVERAGE(B35:M44),"")</f>
        <v>0.64888888888888885</v>
      </c>
      <c r="O35" s="25"/>
      <c r="P35" s="14">
        <f t="shared" ref="P35:P41" si="11">IFERROR(AVERAGE(B35:D44),"")</f>
        <v>0.64888888888888885</v>
      </c>
      <c r="Q35" s="14" t="str">
        <f t="shared" ref="Q35:Q41" si="12">IFERROR(AVERAGE(E35:G44),"")</f>
        <v/>
      </c>
      <c r="R35" s="14" t="str">
        <f t="shared" ref="R35:R41" si="13">IFERROR(AVERAGE(H35:J44),"")</f>
        <v/>
      </c>
      <c r="S35" s="14" t="str">
        <f t="shared" ref="S35:S41" si="14">IFERROR(AVERAGE(K35:M44),"")</f>
        <v/>
      </c>
    </row>
    <row r="36" spans="1:19" x14ac:dyDescent="0.25">
      <c r="A36" t="s">
        <v>25</v>
      </c>
      <c r="B36" s="14">
        <v>0.53</v>
      </c>
      <c r="C36" s="14">
        <v>0.53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>
        <f t="shared" si="10"/>
        <v>0.63337500000000002</v>
      </c>
      <c r="O36" s="26"/>
      <c r="P36" s="27">
        <f t="shared" si="11"/>
        <v>0.63337500000000002</v>
      </c>
      <c r="Q36" s="14" t="str">
        <f t="shared" si="12"/>
        <v/>
      </c>
      <c r="R36" s="14" t="str">
        <f t="shared" si="13"/>
        <v/>
      </c>
      <c r="S36" s="14" t="str">
        <f t="shared" si="14"/>
        <v/>
      </c>
    </row>
    <row r="37" spans="1:19" x14ac:dyDescent="0.25">
      <c r="A37" t="s">
        <v>26</v>
      </c>
      <c r="B37" s="14">
        <v>0.69</v>
      </c>
      <c r="C37" s="14">
        <v>0.69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>
        <f t="shared" si="10"/>
        <v>0.64629687499999999</v>
      </c>
      <c r="O37" s="26"/>
      <c r="P37" s="27">
        <f t="shared" si="11"/>
        <v>0.64629687499999999</v>
      </c>
      <c r="Q37" s="14" t="str">
        <f t="shared" si="12"/>
        <v/>
      </c>
      <c r="R37" s="14" t="str">
        <f t="shared" si="13"/>
        <v/>
      </c>
      <c r="S37" s="14" t="str">
        <f t="shared" si="14"/>
        <v/>
      </c>
    </row>
    <row r="38" spans="1:19" x14ac:dyDescent="0.25">
      <c r="A38" t="s">
        <v>27</v>
      </c>
      <c r="B38" s="14">
        <v>0.63</v>
      </c>
      <c r="C38" s="14">
        <v>0.63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>
        <f t="shared" si="10"/>
        <v>0.64005357142857144</v>
      </c>
      <c r="O38" s="26"/>
      <c r="P38" s="27">
        <f t="shared" si="11"/>
        <v>0.64005357142857144</v>
      </c>
      <c r="Q38" s="14" t="str">
        <f t="shared" si="12"/>
        <v/>
      </c>
      <c r="R38" s="14" t="str">
        <f t="shared" si="13"/>
        <v/>
      </c>
      <c r="S38" s="14" t="str">
        <f t="shared" si="14"/>
        <v/>
      </c>
    </row>
    <row r="39" spans="1:19" x14ac:dyDescent="0.25">
      <c r="A39" t="s">
        <v>28</v>
      </c>
      <c r="B39" s="14">
        <v>0.45</v>
      </c>
      <c r="C39" s="14">
        <v>0.45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>
        <f t="shared" si="10"/>
        <v>0.64172916666666679</v>
      </c>
      <c r="O39" s="26"/>
      <c r="P39" s="27">
        <f t="shared" si="11"/>
        <v>0.64172916666666679</v>
      </c>
      <c r="Q39" s="14" t="str">
        <f t="shared" si="12"/>
        <v/>
      </c>
      <c r="R39" s="14" t="str">
        <f t="shared" si="13"/>
        <v/>
      </c>
      <c r="S39" s="14" t="str">
        <f t="shared" si="14"/>
        <v/>
      </c>
    </row>
    <row r="40" spans="1:19" ht="15" customHeight="1" x14ac:dyDescent="0.25">
      <c r="A40" t="s">
        <v>29</v>
      </c>
      <c r="B40" s="14">
        <v>0.73</v>
      </c>
      <c r="C40" s="14">
        <v>0.73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>
        <f t="shared" si="10"/>
        <v>0.6800750000000001</v>
      </c>
      <c r="O40" s="26"/>
      <c r="P40" s="27">
        <f t="shared" si="11"/>
        <v>0.6800750000000001</v>
      </c>
      <c r="Q40" s="14" t="str">
        <f t="shared" si="12"/>
        <v/>
      </c>
      <c r="R40" s="14" t="str">
        <f t="shared" si="13"/>
        <v/>
      </c>
      <c r="S40" s="14" t="str">
        <f t="shared" si="14"/>
        <v/>
      </c>
    </row>
    <row r="41" spans="1:19" x14ac:dyDescent="0.25">
      <c r="A41" t="s">
        <v>30</v>
      </c>
      <c r="B41" s="14">
        <v>0.59</v>
      </c>
      <c r="C41" s="14">
        <v>0.59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>
        <f t="shared" si="10"/>
        <v>0.70235500000000006</v>
      </c>
      <c r="O41" s="26"/>
      <c r="P41" s="27">
        <f t="shared" si="11"/>
        <v>0.70235500000000006</v>
      </c>
      <c r="Q41" s="14" t="str">
        <f t="shared" si="12"/>
        <v/>
      </c>
      <c r="R41" s="14" t="str">
        <f t="shared" si="13"/>
        <v/>
      </c>
      <c r="S41" s="14" t="str">
        <f t="shared" si="14"/>
        <v/>
      </c>
    </row>
    <row r="42" spans="1:19" x14ac:dyDescent="0.25">
      <c r="A42" t="s">
        <v>31</v>
      </c>
      <c r="B42" s="14">
        <v>0.9</v>
      </c>
      <c r="C42" s="14">
        <v>0.9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>
        <f>IFERROR(AVERAGE(B42:M60),"")</f>
        <v>0.71013740384615387</v>
      </c>
      <c r="O42" s="26"/>
      <c r="P42" s="27">
        <f>IFERROR(AVERAGE(B42:D60),"")</f>
        <v>0.71013740384615387</v>
      </c>
      <c r="Q42" s="14" t="str">
        <f>IFERROR(AVERAGE(E42:G60),"")</f>
        <v/>
      </c>
      <c r="R42" s="14" t="str">
        <f>IFERROR(AVERAGE(H42:J60),"")</f>
        <v/>
      </c>
      <c r="S42" s="14" t="str">
        <f>IFERROR(AVERAGE(K42:M60),"")</f>
        <v/>
      </c>
    </row>
    <row r="43" spans="1:19" ht="30" customHeight="1" x14ac:dyDescent="0.25">
      <c r="A43" t="s">
        <v>22</v>
      </c>
      <c r="B43" s="14"/>
      <c r="C43" s="14">
        <v>0.36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>
        <f>IFERROR(AVERAGE(B43:M52),"")</f>
        <v>0.71999500000000016</v>
      </c>
      <c r="O43" s="26"/>
      <c r="P43" s="27">
        <f>IFERROR(AVERAGE(B43:D52),"")</f>
        <v>0.71999500000000016</v>
      </c>
      <c r="Q43" s="14" t="str">
        <f>IFERROR(AVERAGE(E43:G52),"")</f>
        <v/>
      </c>
      <c r="R43" s="14" t="str">
        <f>IFERROR(AVERAGE(H43:J52),"")</f>
        <v/>
      </c>
      <c r="S43" s="14" t="str">
        <f>IFERROR(AVERAGE(K43:M52),"")</f>
        <v/>
      </c>
    </row>
    <row r="44" spans="1:19" x14ac:dyDescent="0.25">
      <c r="A44" t="s">
        <v>23</v>
      </c>
      <c r="B44" s="14"/>
      <c r="C44" s="14">
        <v>0.7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>
        <f>IFERROR(AVERAGE(B44:M53),"")</f>
        <v>0.75312272727272722</v>
      </c>
      <c r="O44" s="26"/>
      <c r="P44" s="27">
        <f>IFERROR(AVERAGE(B44:D53),"")</f>
        <v>0.75312272727272722</v>
      </c>
      <c r="Q44" s="14" t="str">
        <f>IFERROR(AVERAGE(E44:G53),"")</f>
        <v/>
      </c>
      <c r="R44" s="14" t="str">
        <f>IFERROR(AVERAGE(H44:J53),"")</f>
        <v/>
      </c>
      <c r="S44" s="14" t="str">
        <f>IFERROR(AVERAGE(K44:M53),"")</f>
        <v/>
      </c>
    </row>
    <row r="45" spans="1:19" ht="17.25" x14ac:dyDescent="0.4">
      <c r="A45" s="28" t="s">
        <v>60</v>
      </c>
      <c r="B45" s="29">
        <f>IFERROR(SUBTOTAL(101,tblTemplate331[January]),"")</f>
        <v>0.66375000000000006</v>
      </c>
      <c r="C45" s="29">
        <f>IFERROR(SUBTOTAL(101,tblTemplate331[February]),"")</f>
        <v>0.63700000000000012</v>
      </c>
      <c r="D45" s="29" t="str">
        <f>IFERROR(SUBTOTAL(101,tblTemplate331[March]),"")</f>
        <v/>
      </c>
      <c r="E45" s="29" t="str">
        <f>IFERROR(SUBTOTAL(101,tblTemplate331[April]),"")</f>
        <v/>
      </c>
      <c r="F45" s="29" t="str">
        <f>IFERROR(SUBTOTAL(101,tblTemplate331[May]),"")</f>
        <v/>
      </c>
      <c r="G45" s="29" t="str">
        <f>IFERROR(SUBTOTAL(101,tblTemplate331[June]),"")</f>
        <v/>
      </c>
      <c r="H45" s="29" t="str">
        <f>IFERROR(SUBTOTAL(101,tblTemplate331[July]),"")</f>
        <v/>
      </c>
      <c r="I45" s="29" t="str">
        <f>IFERROR(SUBTOTAL(101,tblTemplate331[August]),"")</f>
        <v/>
      </c>
      <c r="J45" s="29" t="str">
        <f>IFERROR(SUBTOTAL(101,tblTemplate331[September]),"")</f>
        <v/>
      </c>
      <c r="K45" s="29" t="str">
        <f>IFERROR(SUBTOTAL(101,tblTemplate331[October]),"")</f>
        <v/>
      </c>
      <c r="L45" s="29" t="str">
        <f>IFERROR(SUBTOTAL(101,tblTemplate331[November]),"")</f>
        <v/>
      </c>
      <c r="M45" s="29" t="str">
        <f>IFERROR(SUBTOTAL(101,tblTemplate331[December]),"")</f>
        <v/>
      </c>
      <c r="N45" s="29">
        <f>IFERROR(SUBTOTAL(101,tblTemplate331[Average of Col3]),"")</f>
        <v>0.67760286331030084</v>
      </c>
      <c r="O45" s="30"/>
      <c r="P45" s="29">
        <f>IFERROR(SUBTOTAL(101,tblTemplate331[Q1]),"")</f>
        <v>0.67760286331030084</v>
      </c>
      <c r="Q45" s="29" t="str">
        <f>IFERROR(SUBTOTAL(101,tblTemplate331[Q2]),"")</f>
        <v/>
      </c>
      <c r="R45" s="29" t="str">
        <f>IFERROR(SUBTOTAL(101,tblTemplate331[Q3]),"")</f>
        <v/>
      </c>
      <c r="S45" s="29" t="str">
        <f>IFERROR(SUBTOTAL(101,tblTemplate331[Q4]),"")</f>
        <v/>
      </c>
    </row>
    <row r="46" spans="1:19" ht="15" customHeight="1" x14ac:dyDescent="0.25"/>
    <row r="48" spans="1:19" ht="18.75" x14ac:dyDescent="0.3">
      <c r="A48" s="4" t="str">
        <f>'Master Data'!E1</f>
        <v>Col4</v>
      </c>
    </row>
    <row r="49" spans="1:19" ht="30" customHeight="1" x14ac:dyDescent="0.25">
      <c r="A49" s="10" t="s">
        <v>43</v>
      </c>
      <c r="B49" s="10" t="s">
        <v>44</v>
      </c>
      <c r="C49" s="10" t="s">
        <v>1</v>
      </c>
      <c r="D49" s="10" t="s">
        <v>45</v>
      </c>
      <c r="E49" s="10" t="s">
        <v>46</v>
      </c>
      <c r="F49" s="10" t="s">
        <v>47</v>
      </c>
      <c r="G49" s="10" t="s">
        <v>48</v>
      </c>
      <c r="H49" s="10" t="s">
        <v>49</v>
      </c>
      <c r="I49" s="10" t="s">
        <v>50</v>
      </c>
      <c r="J49" s="10" t="s">
        <v>51</v>
      </c>
      <c r="K49" s="10" t="s">
        <v>52</v>
      </c>
      <c r="L49" s="10" t="s">
        <v>53</v>
      </c>
      <c r="M49" s="10" t="s">
        <v>54</v>
      </c>
      <c r="N49" s="9" t="s">
        <v>66</v>
      </c>
      <c r="O49" s="11" t="s">
        <v>55</v>
      </c>
      <c r="P49" s="11" t="s">
        <v>56</v>
      </c>
      <c r="Q49" s="11" t="s">
        <v>57</v>
      </c>
      <c r="R49" s="11" t="s">
        <v>58</v>
      </c>
      <c r="S49" s="11" t="s">
        <v>59</v>
      </c>
    </row>
    <row r="50" spans="1:19" x14ac:dyDescent="0.25">
      <c r="A50" t="s">
        <v>24</v>
      </c>
      <c r="B50" s="1">
        <v>0.84140000000000004</v>
      </c>
      <c r="C50" s="1">
        <v>0.84140000000000004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20">
        <f t="shared" ref="N50:N56" si="15">IFERROR(AVERAGE(B50:M59),"")</f>
        <v>0.71491111111111105</v>
      </c>
      <c r="O50" s="25"/>
      <c r="P50" s="22">
        <f t="shared" ref="P50:P56" si="16">IFERROR(AVERAGE(B50:D59),"")</f>
        <v>0.71491111111111105</v>
      </c>
      <c r="Q50" s="22" t="str">
        <f t="shared" ref="Q50:Q56" si="17">IFERROR(AVERAGE(E50:G59),"")</f>
        <v/>
      </c>
      <c r="R50" s="22" t="str">
        <f t="shared" ref="R50:R56" si="18">IFERROR(AVERAGE(H50:J59),"")</f>
        <v/>
      </c>
      <c r="S50" s="22" t="str">
        <f t="shared" ref="S50:S56" si="19">IFERROR(AVERAGE(K50:M59),"")</f>
        <v/>
      </c>
    </row>
    <row r="51" spans="1:19" x14ac:dyDescent="0.25">
      <c r="A51" t="s">
        <v>25</v>
      </c>
      <c r="B51" s="1">
        <v>0.80889999999999995</v>
      </c>
      <c r="C51" s="1">
        <v>0.80889999999999995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20">
        <f t="shared" si="15"/>
        <v>0.70111236111111108</v>
      </c>
      <c r="O51" s="26"/>
      <c r="P51" s="31">
        <f t="shared" si="16"/>
        <v>0.70111236111111108</v>
      </c>
      <c r="Q51" s="22" t="str">
        <f t="shared" si="17"/>
        <v/>
      </c>
      <c r="R51" s="22" t="str">
        <f t="shared" si="18"/>
        <v/>
      </c>
      <c r="S51" s="22" t="str">
        <f t="shared" si="19"/>
        <v/>
      </c>
    </row>
    <row r="52" spans="1:19" ht="15" customHeight="1" x14ac:dyDescent="0.25">
      <c r="A52" t="s">
        <v>26</v>
      </c>
      <c r="B52" s="1">
        <v>0.76929999999999998</v>
      </c>
      <c r="C52" s="1">
        <v>0.76929999999999998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20">
        <f t="shared" si="15"/>
        <v>0.68763890625000001</v>
      </c>
      <c r="O52" s="26"/>
      <c r="P52" s="31">
        <f t="shared" si="16"/>
        <v>0.68763890625000001</v>
      </c>
      <c r="Q52" s="22" t="str">
        <f t="shared" si="17"/>
        <v/>
      </c>
      <c r="R52" s="22" t="str">
        <f t="shared" si="18"/>
        <v/>
      </c>
      <c r="S52" s="22" t="str">
        <f t="shared" si="19"/>
        <v/>
      </c>
    </row>
    <row r="53" spans="1:19" x14ac:dyDescent="0.25">
      <c r="A53" t="s">
        <v>27</v>
      </c>
      <c r="B53" s="1">
        <v>0.72219999999999995</v>
      </c>
      <c r="C53" s="1">
        <v>0.72219999999999995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20">
        <f t="shared" si="15"/>
        <v>0.67597303571428569</v>
      </c>
      <c r="O53" s="26"/>
      <c r="P53" s="31">
        <f t="shared" si="16"/>
        <v>0.67597303571428569</v>
      </c>
      <c r="Q53" s="22" t="str">
        <f t="shared" si="17"/>
        <v/>
      </c>
      <c r="R53" s="22" t="str">
        <f t="shared" si="18"/>
        <v/>
      </c>
      <c r="S53" s="22" t="str">
        <f t="shared" si="19"/>
        <v/>
      </c>
    </row>
    <row r="54" spans="1:19" x14ac:dyDescent="0.25">
      <c r="A54" t="s">
        <v>28</v>
      </c>
      <c r="B54" s="1">
        <v>0.48770000000000002</v>
      </c>
      <c r="C54" s="1">
        <v>0.48770000000000002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20">
        <f t="shared" si="15"/>
        <v>0.6682685416666666</v>
      </c>
      <c r="O54" s="26"/>
      <c r="P54" s="31">
        <f t="shared" si="16"/>
        <v>0.6682685416666666</v>
      </c>
      <c r="Q54" s="22" t="str">
        <f t="shared" si="17"/>
        <v/>
      </c>
      <c r="R54" s="22" t="str">
        <f t="shared" si="18"/>
        <v/>
      </c>
      <c r="S54" s="22" t="str">
        <f t="shared" si="19"/>
        <v/>
      </c>
    </row>
    <row r="55" spans="1:19" x14ac:dyDescent="0.25">
      <c r="A55" t="s">
        <v>29</v>
      </c>
      <c r="B55" s="1">
        <v>0.80689999999999995</v>
      </c>
      <c r="C55" s="1">
        <v>0.80689999999999995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20">
        <f t="shared" si="15"/>
        <v>0.70438224999999999</v>
      </c>
      <c r="O55" s="26"/>
      <c r="P55" s="31">
        <f t="shared" si="16"/>
        <v>0.70438224999999999</v>
      </c>
      <c r="Q55" s="22" t="str">
        <f t="shared" si="17"/>
        <v/>
      </c>
      <c r="R55" s="22" t="str">
        <f t="shared" si="18"/>
        <v/>
      </c>
      <c r="S55" s="22" t="str">
        <f t="shared" si="19"/>
        <v/>
      </c>
    </row>
    <row r="56" spans="1:19" ht="30" customHeight="1" x14ac:dyDescent="0.25">
      <c r="A56" t="s">
        <v>30</v>
      </c>
      <c r="B56" s="1">
        <v>0.60319999999999996</v>
      </c>
      <c r="C56" s="1">
        <v>0.60319999999999996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20">
        <f t="shared" si="15"/>
        <v>0.65942224999999999</v>
      </c>
      <c r="O56" s="26"/>
      <c r="P56" s="31">
        <f t="shared" si="16"/>
        <v>0.65942224999999999</v>
      </c>
      <c r="Q56" s="22" t="str">
        <f t="shared" si="17"/>
        <v/>
      </c>
      <c r="R56" s="22" t="str">
        <f t="shared" si="18"/>
        <v/>
      </c>
      <c r="S56" s="22" t="str">
        <f t="shared" si="19"/>
        <v/>
      </c>
    </row>
    <row r="57" spans="1:19" x14ac:dyDescent="0.25">
      <c r="A57" t="s">
        <v>31</v>
      </c>
      <c r="B57" s="1">
        <v>0.86370000000000002</v>
      </c>
      <c r="C57" s="1">
        <v>0.86370000000000002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20">
        <f>IFERROR(AVERAGE(B57:M75),"")</f>
        <v>0.64158442307692298</v>
      </c>
      <c r="O57" s="26"/>
      <c r="P57" s="31">
        <f>IFERROR(AVERAGE(B57:D75),"")</f>
        <v>0.64158442307692298</v>
      </c>
      <c r="Q57" s="22" t="str">
        <f>IFERROR(AVERAGE(E57:G75),"")</f>
        <v/>
      </c>
      <c r="R57" s="22" t="str">
        <f>IFERROR(AVERAGE(H57:J75),"")</f>
        <v/>
      </c>
      <c r="S57" s="22" t="str">
        <f>IFERROR(AVERAGE(K57:M75),"")</f>
        <v/>
      </c>
    </row>
    <row r="58" spans="1:19" x14ac:dyDescent="0.25">
      <c r="A58" t="s">
        <v>22</v>
      </c>
      <c r="B58" s="1"/>
      <c r="C58" s="1">
        <v>0.1537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20">
        <f>IFERROR(AVERAGE(B58:M67),"")</f>
        <v>0.63510224999999998</v>
      </c>
      <c r="O58" s="26"/>
      <c r="P58" s="31">
        <f>IFERROR(AVERAGE(B58:D67),"")</f>
        <v>0.63510224999999998</v>
      </c>
      <c r="Q58" s="22" t="str">
        <f>IFERROR(AVERAGE(E58:G67),"")</f>
        <v/>
      </c>
      <c r="R58" s="22" t="str">
        <f>IFERROR(AVERAGE(H58:J67),"")</f>
        <v/>
      </c>
      <c r="S58" s="22" t="str">
        <f>IFERROR(AVERAGE(K58:M67),"")</f>
        <v/>
      </c>
    </row>
    <row r="59" spans="1:19" x14ac:dyDescent="0.25">
      <c r="A59" t="s">
        <v>23</v>
      </c>
      <c r="B59" s="1"/>
      <c r="C59" s="1">
        <v>0.90810000000000002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20">
        <f>IFERROR(AVERAGE(B59:M68),"")</f>
        <v>0.69382931818181814</v>
      </c>
      <c r="O59" s="26"/>
      <c r="P59" s="31">
        <f>IFERROR(AVERAGE(B59:D68),"")</f>
        <v>0.69382931818181814</v>
      </c>
      <c r="Q59" s="22" t="str">
        <f>IFERROR(AVERAGE(E59:G68),"")</f>
        <v/>
      </c>
      <c r="R59" s="22" t="str">
        <f>IFERROR(AVERAGE(H59:J68),"")</f>
        <v/>
      </c>
      <c r="S59" s="22" t="str">
        <f>IFERROR(AVERAGE(K59:M68),"")</f>
        <v/>
      </c>
    </row>
    <row r="60" spans="1:19" ht="17.25" x14ac:dyDescent="0.4">
      <c r="A60" s="28" t="s">
        <v>60</v>
      </c>
      <c r="B60" s="32">
        <f>IFERROR(SUBTOTAL(101,tblTemplate432[January]),"")</f>
        <v>0.73791249999999997</v>
      </c>
      <c r="C60" s="32">
        <f>IFERROR(SUBTOTAL(101,tblTemplate432[February]),"")</f>
        <v>0.69650999999999996</v>
      </c>
      <c r="D60" s="32" t="str">
        <f>IFERROR(SUBTOTAL(101,tblTemplate432[March]),"")</f>
        <v/>
      </c>
      <c r="E60" s="32" t="str">
        <f>IFERROR(SUBTOTAL(101,tblTemplate432[April]),"")</f>
        <v/>
      </c>
      <c r="F60" s="32" t="str">
        <f>IFERROR(SUBTOTAL(101,tblTemplate432[May]),"")</f>
        <v/>
      </c>
      <c r="G60" s="32" t="str">
        <f>IFERROR(SUBTOTAL(101,tblTemplate432[June]),"")</f>
        <v/>
      </c>
      <c r="H60" s="32" t="str">
        <f>IFERROR(SUBTOTAL(101,tblTemplate432[July]),"")</f>
        <v/>
      </c>
      <c r="I60" s="32" t="str">
        <f>IFERROR(SUBTOTAL(101,tblTemplate432[August]),"")</f>
        <v/>
      </c>
      <c r="J60" s="32" t="str">
        <f>IFERROR(SUBTOTAL(101,tblTemplate432[September]),"")</f>
        <v/>
      </c>
      <c r="K60" s="32" t="str">
        <f>IFERROR(SUBTOTAL(101,tblTemplate432[October]),"")</f>
        <v/>
      </c>
      <c r="L60" s="32" t="str">
        <f>IFERROR(SUBTOTAL(101,tblTemplate432[November]),"")</f>
        <v/>
      </c>
      <c r="M60" s="32" t="str">
        <f>IFERROR(SUBTOTAL(101,tblTemplate432[December]),"")</f>
        <v/>
      </c>
      <c r="N60" s="33">
        <f>IFERROR(SUBTOTAL(101,tblTemplate432[Average of Col4]),"")</f>
        <v>0.67822244471119153</v>
      </c>
      <c r="O60" s="30"/>
      <c r="P60" s="33">
        <f>IFERROR(SUBTOTAL(101,tblTemplate432[Q1]),"")</f>
        <v>0.67822244471119153</v>
      </c>
      <c r="Q60" s="33" t="str">
        <f>IFERROR(SUBTOTAL(101,tblTemplate432[Q2]),"")</f>
        <v/>
      </c>
      <c r="R60" s="33" t="str">
        <f>IFERROR(SUBTOTAL(101,tblTemplate432[Q3]),"")</f>
        <v/>
      </c>
      <c r="S60" s="33" t="str">
        <f>IFERROR(SUBTOTAL(101,tblTemplate432[Q4]),"")</f>
        <v/>
      </c>
    </row>
    <row r="63" spans="1:19" ht="18.75" x14ac:dyDescent="0.3">
      <c r="A63" s="4" t="str">
        <f>'Master Data'!F1</f>
        <v>Col5</v>
      </c>
    </row>
    <row r="64" spans="1:19" ht="30" customHeight="1" x14ac:dyDescent="0.25">
      <c r="A64" s="10" t="s">
        <v>43</v>
      </c>
      <c r="B64" s="10" t="s">
        <v>44</v>
      </c>
      <c r="C64" s="10" t="s">
        <v>1</v>
      </c>
      <c r="D64" s="10" t="s">
        <v>45</v>
      </c>
      <c r="E64" s="10" t="s">
        <v>46</v>
      </c>
      <c r="F64" s="10" t="s">
        <v>47</v>
      </c>
      <c r="G64" s="10" t="s">
        <v>48</v>
      </c>
      <c r="H64" s="10" t="s">
        <v>49</v>
      </c>
      <c r="I64" s="10" t="s">
        <v>50</v>
      </c>
      <c r="J64" s="10" t="s">
        <v>51</v>
      </c>
      <c r="K64" s="10" t="s">
        <v>52</v>
      </c>
      <c r="L64" s="10" t="s">
        <v>53</v>
      </c>
      <c r="M64" s="10" t="s">
        <v>54</v>
      </c>
      <c r="N64" s="9" t="s">
        <v>67</v>
      </c>
      <c r="O64" s="11" t="s">
        <v>55</v>
      </c>
      <c r="P64" s="11" t="s">
        <v>56</v>
      </c>
      <c r="Q64" s="11" t="s">
        <v>57</v>
      </c>
      <c r="R64" s="11" t="s">
        <v>58</v>
      </c>
      <c r="S64" s="11" t="s">
        <v>59</v>
      </c>
    </row>
    <row r="65" spans="1:19" x14ac:dyDescent="0.25">
      <c r="A65" t="s">
        <v>24</v>
      </c>
      <c r="B65" s="1">
        <v>0.58209999999999995</v>
      </c>
      <c r="C65" s="1">
        <v>0.58209999999999995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20">
        <f t="shared" ref="N65:N71" si="20">IFERROR(AVERAGE(B65:M74),"")</f>
        <v>0.62311666666666676</v>
      </c>
      <c r="O65" s="25"/>
      <c r="P65" s="22">
        <f t="shared" ref="P65:P71" si="21">IFERROR(AVERAGE(B65:D74),"")</f>
        <v>0.62311666666666676</v>
      </c>
      <c r="Q65" s="22" t="str">
        <f t="shared" ref="Q65:Q71" si="22">IFERROR(AVERAGE(E65:G74),"")</f>
        <v/>
      </c>
      <c r="R65" s="22" t="str">
        <f t="shared" ref="R65:R71" si="23">IFERROR(AVERAGE(H65:J74),"")</f>
        <v/>
      </c>
      <c r="S65" s="22" t="str">
        <f t="shared" ref="S65:S71" si="24">IFERROR(AVERAGE(K65:M74),"")</f>
        <v/>
      </c>
    </row>
    <row r="66" spans="1:19" x14ac:dyDescent="0.25">
      <c r="A66" t="s">
        <v>25</v>
      </c>
      <c r="B66" s="1">
        <v>0.61360000000000003</v>
      </c>
      <c r="C66" s="1">
        <v>0.61360000000000003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20">
        <f t="shared" si="20"/>
        <v>0.62740958333333341</v>
      </c>
      <c r="O66" s="26"/>
      <c r="P66" s="31">
        <f t="shared" si="21"/>
        <v>0.62740958333333341</v>
      </c>
      <c r="Q66" s="22" t="str">
        <f t="shared" si="22"/>
        <v/>
      </c>
      <c r="R66" s="22" t="str">
        <f t="shared" si="23"/>
        <v/>
      </c>
      <c r="S66" s="22" t="str">
        <f t="shared" si="24"/>
        <v/>
      </c>
    </row>
    <row r="67" spans="1:19" x14ac:dyDescent="0.25">
      <c r="A67" t="s">
        <v>26</v>
      </c>
      <c r="B67" s="1">
        <v>0.73170000000000002</v>
      </c>
      <c r="C67" s="1">
        <v>0.73170000000000002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20">
        <f t="shared" si="20"/>
        <v>0.62913578125000003</v>
      </c>
      <c r="O67" s="26"/>
      <c r="P67" s="31">
        <f t="shared" si="21"/>
        <v>0.62913578125000003</v>
      </c>
      <c r="Q67" s="22" t="str">
        <f t="shared" si="22"/>
        <v/>
      </c>
      <c r="R67" s="22" t="str">
        <f t="shared" si="23"/>
        <v/>
      </c>
      <c r="S67" s="22" t="str">
        <f t="shared" si="24"/>
        <v/>
      </c>
    </row>
    <row r="68" spans="1:19" x14ac:dyDescent="0.25">
      <c r="A68" t="s">
        <v>27</v>
      </c>
      <c r="B68" s="1">
        <v>0.71740000000000004</v>
      </c>
      <c r="C68" s="1">
        <v>0.71740000000000004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20">
        <f t="shared" si="20"/>
        <v>0.61448375</v>
      </c>
      <c r="O68" s="26"/>
      <c r="P68" s="31">
        <f t="shared" si="21"/>
        <v>0.61448375</v>
      </c>
      <c r="Q68" s="22" t="str">
        <f t="shared" si="22"/>
        <v/>
      </c>
      <c r="R68" s="22" t="str">
        <f t="shared" si="23"/>
        <v/>
      </c>
      <c r="S68" s="22" t="str">
        <f t="shared" si="24"/>
        <v/>
      </c>
    </row>
    <row r="69" spans="1:19" ht="30" customHeight="1" x14ac:dyDescent="0.25">
      <c r="A69" t="s">
        <v>28</v>
      </c>
      <c r="B69" s="1">
        <v>0.4118</v>
      </c>
      <c r="C69" s="1">
        <v>0.4118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20">
        <f t="shared" si="20"/>
        <v>0.59733104166666673</v>
      </c>
      <c r="O69" s="26"/>
      <c r="P69" s="31">
        <f t="shared" si="21"/>
        <v>0.59733104166666673</v>
      </c>
      <c r="Q69" s="22" t="str">
        <f t="shared" si="22"/>
        <v/>
      </c>
      <c r="R69" s="22" t="str">
        <f t="shared" si="23"/>
        <v/>
      </c>
      <c r="S69" s="22" t="str">
        <f t="shared" si="24"/>
        <v/>
      </c>
    </row>
    <row r="70" spans="1:19" x14ac:dyDescent="0.25">
      <c r="A70" t="s">
        <v>29</v>
      </c>
      <c r="B70" s="1">
        <v>0.61399999999999999</v>
      </c>
      <c r="C70" s="1">
        <v>0.61399999999999999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20">
        <f t="shared" si="20"/>
        <v>0.63443724999999995</v>
      </c>
      <c r="O70" s="26"/>
      <c r="P70" s="31">
        <f t="shared" si="21"/>
        <v>0.63443724999999995</v>
      </c>
      <c r="Q70" s="22" t="str">
        <f t="shared" si="22"/>
        <v/>
      </c>
      <c r="R70" s="22" t="str">
        <f t="shared" si="23"/>
        <v/>
      </c>
      <c r="S70" s="22" t="str">
        <f t="shared" si="24"/>
        <v/>
      </c>
    </row>
    <row r="71" spans="1:19" x14ac:dyDescent="0.25">
      <c r="A71" t="s">
        <v>30</v>
      </c>
      <c r="B71" s="1">
        <v>0.52629999999999999</v>
      </c>
      <c r="C71" s="1">
        <v>0.52629999999999999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20">
        <f t="shared" si="20"/>
        <v>0.66251724999999995</v>
      </c>
      <c r="O71" s="26"/>
      <c r="P71" s="31">
        <f t="shared" si="21"/>
        <v>0.66251724999999995</v>
      </c>
      <c r="Q71" s="22" t="str">
        <f t="shared" si="22"/>
        <v/>
      </c>
      <c r="R71" s="22" t="str">
        <f t="shared" si="23"/>
        <v/>
      </c>
      <c r="S71" s="22" t="str">
        <f t="shared" si="24"/>
        <v/>
      </c>
    </row>
    <row r="72" spans="1:19" x14ac:dyDescent="0.25">
      <c r="A72" t="s">
        <v>31</v>
      </c>
      <c r="B72" s="1">
        <v>0.59760000000000002</v>
      </c>
      <c r="C72" s="1">
        <v>0.59760000000000002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20">
        <f>IFERROR(AVERAGE(B72:M90),"")</f>
        <v>0.73053903846153845</v>
      </c>
      <c r="O72" s="26"/>
      <c r="P72" s="31">
        <f>IFERROR(AVERAGE(B72:D90),"")</f>
        <v>0.73053903846153845</v>
      </c>
      <c r="Q72" s="22" t="str">
        <f>IFERROR(AVERAGE(E72:G90),"")</f>
        <v/>
      </c>
      <c r="R72" s="22" t="str">
        <f>IFERROR(AVERAGE(H72:J90),"")</f>
        <v/>
      </c>
      <c r="S72" s="22" t="str">
        <f>IFERROR(AVERAGE(K72:M90),"")</f>
        <v/>
      </c>
    </row>
    <row r="73" spans="1:19" x14ac:dyDescent="0.25">
      <c r="A73" t="s">
        <v>22</v>
      </c>
      <c r="B73" s="1"/>
      <c r="C73" s="1">
        <v>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20">
        <f>IFERROR(AVERAGE(B73:M82),"")</f>
        <v>0.73239725</v>
      </c>
      <c r="O73" s="26"/>
      <c r="P73" s="31">
        <f>IFERROR(AVERAGE(B73:D82),"")</f>
        <v>0.73239725</v>
      </c>
      <c r="Q73" s="22" t="str">
        <f>IFERROR(AVERAGE(E73:G82),"")</f>
        <v/>
      </c>
      <c r="R73" s="22" t="str">
        <f>IFERROR(AVERAGE(H73:J82),"")</f>
        <v/>
      </c>
      <c r="S73" s="22" t="str">
        <f>IFERROR(AVERAGE(K73:M82),"")</f>
        <v/>
      </c>
    </row>
    <row r="74" spans="1:19" x14ac:dyDescent="0.25">
      <c r="A74" t="s">
        <v>23</v>
      </c>
      <c r="B74" s="1"/>
      <c r="C74" s="1">
        <v>0.62709999999999999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20">
        <f>IFERROR(AVERAGE(B74:M83),"")</f>
        <v>0.71776113636363637</v>
      </c>
      <c r="O74" s="26"/>
      <c r="P74" s="31">
        <f>IFERROR(AVERAGE(B74:D83),"")</f>
        <v>0.71776113636363637</v>
      </c>
      <c r="Q74" s="22" t="str">
        <f>IFERROR(AVERAGE(E74:G83),"")</f>
        <v/>
      </c>
      <c r="R74" s="22" t="str">
        <f>IFERROR(AVERAGE(H74:J83),"")</f>
        <v/>
      </c>
      <c r="S74" s="22" t="str">
        <f>IFERROR(AVERAGE(K74:M83),"")</f>
        <v/>
      </c>
    </row>
    <row r="75" spans="1:19" ht="17.25" x14ac:dyDescent="0.4">
      <c r="A75" s="28" t="s">
        <v>60</v>
      </c>
      <c r="B75" s="32">
        <f>IFERROR(SUBTOTAL(101,tblTemplate533[January]),"")</f>
        <v>0.59931249999999991</v>
      </c>
      <c r="C75" s="32">
        <f>IFERROR(SUBTOTAL(101,tblTemplate533[February]),"")</f>
        <v>0.64215999999999995</v>
      </c>
      <c r="D75" s="32" t="str">
        <f>IFERROR(SUBTOTAL(101,tblTemplate533[March]),"")</f>
        <v/>
      </c>
      <c r="E75" s="32" t="str">
        <f>IFERROR(SUBTOTAL(101,tblTemplate533[April]),"")</f>
        <v/>
      </c>
      <c r="F75" s="32" t="str">
        <f>IFERROR(SUBTOTAL(101,tblTemplate533[May]),"")</f>
        <v/>
      </c>
      <c r="G75" s="32" t="str">
        <f>IFERROR(SUBTOTAL(101,tblTemplate533[June]),"")</f>
        <v/>
      </c>
      <c r="H75" s="32" t="str">
        <f>IFERROR(SUBTOTAL(101,tblTemplate533[July]),"")</f>
        <v/>
      </c>
      <c r="I75" s="32" t="str">
        <f>IFERROR(SUBTOTAL(101,tblTemplate533[August]),"")</f>
        <v/>
      </c>
      <c r="J75" s="32" t="str">
        <f>IFERROR(SUBTOTAL(101,tblTemplate533[September]),"")</f>
        <v/>
      </c>
      <c r="K75" s="32" t="str">
        <f>IFERROR(SUBTOTAL(101,tblTemplate533[October]),"")</f>
        <v/>
      </c>
      <c r="L75" s="32" t="str">
        <f>IFERROR(SUBTOTAL(101,tblTemplate533[November]),"")</f>
        <v/>
      </c>
      <c r="M75" s="32" t="str">
        <f>IFERROR(SUBTOTAL(101,tblTemplate533[December]),"")</f>
        <v/>
      </c>
      <c r="N75" s="33">
        <f>IFERROR(SUBTOTAL(101,tblTemplate533[Average of Col5]),"")</f>
        <v>0.65691287477418414</v>
      </c>
      <c r="O75" s="30"/>
      <c r="P75" s="33">
        <f>IFERROR(SUBTOTAL(101,tblTemplate533[Q1]),"")</f>
        <v>0.65691287477418414</v>
      </c>
      <c r="Q75" s="33" t="str">
        <f>IFERROR(SUBTOTAL(101,tblTemplate533[Q2]),"")</f>
        <v/>
      </c>
      <c r="R75" s="33" t="str">
        <f>IFERROR(SUBTOTAL(101,tblTemplate533[Q3]),"")</f>
        <v/>
      </c>
      <c r="S75" s="33" t="str">
        <f>IFERROR(SUBTOTAL(101,tblTemplate533[Q4]),"")</f>
        <v/>
      </c>
    </row>
    <row r="78" spans="1:19" ht="18.75" x14ac:dyDescent="0.3">
      <c r="A78" s="4" t="str">
        <f>'Master Data'!G1</f>
        <v>Col6</v>
      </c>
    </row>
    <row r="79" spans="1:19" ht="30" customHeight="1" x14ac:dyDescent="0.25">
      <c r="A79" s="10" t="s">
        <v>43</v>
      </c>
      <c r="B79" s="10" t="s">
        <v>44</v>
      </c>
      <c r="C79" s="10" t="s">
        <v>1</v>
      </c>
      <c r="D79" s="10" t="s">
        <v>45</v>
      </c>
      <c r="E79" s="10" t="s">
        <v>46</v>
      </c>
      <c r="F79" s="10" t="s">
        <v>47</v>
      </c>
      <c r="G79" s="10" t="s">
        <v>48</v>
      </c>
      <c r="H79" s="10" t="s">
        <v>49</v>
      </c>
      <c r="I79" s="10" t="s">
        <v>50</v>
      </c>
      <c r="J79" s="10" t="s">
        <v>51</v>
      </c>
      <c r="K79" s="10" t="s">
        <v>52</v>
      </c>
      <c r="L79" s="10" t="s">
        <v>53</v>
      </c>
      <c r="M79" s="10" t="s">
        <v>54</v>
      </c>
      <c r="N79" s="9" t="s">
        <v>68</v>
      </c>
      <c r="O79" s="11" t="s">
        <v>55</v>
      </c>
      <c r="P79" s="11" t="s">
        <v>56</v>
      </c>
      <c r="Q79" s="11" t="s">
        <v>57</v>
      </c>
      <c r="R79" s="11" t="s">
        <v>58</v>
      </c>
      <c r="S79" s="11" t="s">
        <v>59</v>
      </c>
    </row>
    <row r="80" spans="1:19" x14ac:dyDescent="0.25">
      <c r="A80" t="s">
        <v>24</v>
      </c>
      <c r="B80" s="1">
        <v>0.75439999999999996</v>
      </c>
      <c r="C80" s="1">
        <v>0.75439999999999996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20">
        <f t="shared" ref="N80:N86" si="25">IFERROR(AVERAGE(B80:M89),"")</f>
        <v>0.74635000000000007</v>
      </c>
      <c r="O80" s="25"/>
      <c r="P80" s="22">
        <f t="shared" ref="P80:P86" si="26">IFERROR(AVERAGE(B80:D89),"")</f>
        <v>0.74635000000000007</v>
      </c>
      <c r="Q80" s="22" t="str">
        <f t="shared" ref="Q80:Q86" si="27">IFERROR(AVERAGE(E80:G89),"")</f>
        <v/>
      </c>
      <c r="R80" s="22" t="str">
        <f t="shared" ref="R80:R86" si="28">IFERROR(AVERAGE(H80:J89),"")</f>
        <v/>
      </c>
      <c r="S80" s="22" t="str">
        <f t="shared" ref="S80:S86" si="29">IFERROR(AVERAGE(K80:M89),"")</f>
        <v/>
      </c>
    </row>
    <row r="81" spans="1:19" x14ac:dyDescent="0.25">
      <c r="A81" t="s">
        <v>25</v>
      </c>
      <c r="B81" s="1">
        <v>0.84</v>
      </c>
      <c r="C81" s="1">
        <v>0.84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20">
        <f t="shared" si="25"/>
        <v>0.74563569444444433</v>
      </c>
      <c r="O81" s="26"/>
      <c r="P81" s="31">
        <f t="shared" si="26"/>
        <v>0.74563569444444433</v>
      </c>
      <c r="Q81" s="22" t="str">
        <f t="shared" si="27"/>
        <v/>
      </c>
      <c r="R81" s="22" t="str">
        <f t="shared" si="28"/>
        <v/>
      </c>
      <c r="S81" s="22" t="str">
        <f t="shared" si="29"/>
        <v/>
      </c>
    </row>
    <row r="82" spans="1:19" ht="30" customHeight="1" x14ac:dyDescent="0.25">
      <c r="A82" t="s">
        <v>26</v>
      </c>
      <c r="B82" s="1">
        <v>0.63329999999999997</v>
      </c>
      <c r="C82" s="1">
        <v>0.63329999999999997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20">
        <f t="shared" si="25"/>
        <v>0.73384015624999999</v>
      </c>
      <c r="O82" s="26"/>
      <c r="P82" s="31">
        <f t="shared" si="26"/>
        <v>0.73384015624999999</v>
      </c>
      <c r="Q82" s="22" t="str">
        <f t="shared" si="27"/>
        <v/>
      </c>
      <c r="R82" s="22" t="str">
        <f t="shared" si="28"/>
        <v/>
      </c>
      <c r="S82" s="22" t="str">
        <f t="shared" si="29"/>
        <v/>
      </c>
    </row>
    <row r="83" spans="1:19" x14ac:dyDescent="0.25">
      <c r="A83" t="s">
        <v>27</v>
      </c>
      <c r="B83" s="1">
        <v>0.78569999999999995</v>
      </c>
      <c r="C83" s="1">
        <v>0.78569999999999995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20">
        <f t="shared" si="25"/>
        <v>0.7482030357142857</v>
      </c>
      <c r="O83" s="26"/>
      <c r="P83" s="31">
        <f t="shared" si="26"/>
        <v>0.7482030357142857</v>
      </c>
      <c r="Q83" s="22" t="str">
        <f t="shared" si="27"/>
        <v/>
      </c>
      <c r="R83" s="22" t="str">
        <f t="shared" si="28"/>
        <v/>
      </c>
      <c r="S83" s="22" t="str">
        <f t="shared" si="29"/>
        <v/>
      </c>
    </row>
    <row r="84" spans="1:19" x14ac:dyDescent="0.25">
      <c r="A84" t="s">
        <v>28</v>
      </c>
      <c r="B84" s="1">
        <v>0.84619999999999995</v>
      </c>
      <c r="C84" s="1">
        <v>0.84619999999999995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20">
        <f t="shared" si="25"/>
        <v>0.74195354166666672</v>
      </c>
      <c r="O84" s="26"/>
      <c r="P84" s="31">
        <f t="shared" si="26"/>
        <v>0.74195354166666672</v>
      </c>
      <c r="Q84" s="22" t="str">
        <f t="shared" si="27"/>
        <v/>
      </c>
      <c r="R84" s="22" t="str">
        <f t="shared" si="28"/>
        <v/>
      </c>
      <c r="S84" s="22" t="str">
        <f t="shared" si="29"/>
        <v/>
      </c>
    </row>
    <row r="85" spans="1:19" x14ac:dyDescent="0.25">
      <c r="A85" t="s">
        <v>29</v>
      </c>
      <c r="B85" s="1">
        <v>0.72409999999999997</v>
      </c>
      <c r="C85" s="1">
        <v>0.72409999999999997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20">
        <f t="shared" si="25"/>
        <v>0.72110425</v>
      </c>
      <c r="O85" s="26"/>
      <c r="P85" s="31">
        <f t="shared" si="26"/>
        <v>0.72110425</v>
      </c>
      <c r="Q85" s="22" t="str">
        <f t="shared" si="27"/>
        <v/>
      </c>
      <c r="R85" s="22" t="str">
        <f t="shared" si="28"/>
        <v/>
      </c>
      <c r="S85" s="22" t="str">
        <f t="shared" si="29"/>
        <v/>
      </c>
    </row>
    <row r="86" spans="1:19" x14ac:dyDescent="0.25">
      <c r="A86" t="s">
        <v>30</v>
      </c>
      <c r="B86" s="1">
        <v>0.86050000000000004</v>
      </c>
      <c r="C86" s="1">
        <v>0.86050000000000004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20">
        <f t="shared" si="25"/>
        <v>68.998284250000012</v>
      </c>
      <c r="O86" s="26"/>
      <c r="P86" s="31">
        <f t="shared" si="26"/>
        <v>68.998284250000012</v>
      </c>
      <c r="Q86" s="22" t="str">
        <f t="shared" si="27"/>
        <v/>
      </c>
      <c r="R86" s="22" t="str">
        <f t="shared" si="28"/>
        <v/>
      </c>
      <c r="S86" s="22" t="str">
        <f t="shared" si="29"/>
        <v/>
      </c>
    </row>
    <row r="87" spans="1:19" x14ac:dyDescent="0.25">
      <c r="A87" t="s">
        <v>31</v>
      </c>
      <c r="B87" s="1">
        <v>0.65629999999999999</v>
      </c>
      <c r="C87" s="1">
        <v>0.65629999999999999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20">
        <f>IFERROR(AVERAGE(B87:M105),"")</f>
        <v>288.80880163461541</v>
      </c>
      <c r="O87" s="26"/>
      <c r="P87" s="31">
        <f>IFERROR(AVERAGE(B87:D105),"")</f>
        <v>288.80880163461541</v>
      </c>
      <c r="Q87" s="22" t="str">
        <f>IFERROR(AVERAGE(E87:G105),"")</f>
        <v/>
      </c>
      <c r="R87" s="22" t="str">
        <f>IFERROR(AVERAGE(H87:J105),"")</f>
        <v/>
      </c>
      <c r="S87" s="22" t="str">
        <f>IFERROR(AVERAGE(K87:M105),"")</f>
        <v/>
      </c>
    </row>
    <row r="88" spans="1:19" x14ac:dyDescent="0.25">
      <c r="A88" t="s">
        <v>22</v>
      </c>
      <c r="B88" s="1"/>
      <c r="C88" s="1">
        <v>0.4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20">
        <f>IFERROR(AVERAGE(B88:M97),"")</f>
        <v>241.54492425000004</v>
      </c>
      <c r="O88" s="26"/>
      <c r="P88" s="31">
        <f>IFERROR(AVERAGE(B88:D97),"")</f>
        <v>241.54492425000004</v>
      </c>
      <c r="Q88" s="22" t="str">
        <f>IFERROR(AVERAGE(E88:G97),"")</f>
        <v/>
      </c>
      <c r="R88" s="22" t="str">
        <f>IFERROR(AVERAGE(H88:J97),"")</f>
        <v/>
      </c>
      <c r="S88" s="22" t="str">
        <f>IFERROR(AVERAGE(K88:M97),"")</f>
        <v/>
      </c>
    </row>
    <row r="89" spans="1:19" x14ac:dyDescent="0.25">
      <c r="A89" t="s">
        <v>23</v>
      </c>
      <c r="B89" s="1"/>
      <c r="C89" s="1">
        <v>0.83330000000000004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20">
        <f>IFERROR(AVERAGE(B89:M98),"")</f>
        <v>284.40993113636364</v>
      </c>
      <c r="O89" s="26"/>
      <c r="P89" s="31">
        <f>IFERROR(AVERAGE(B89:D98),"")</f>
        <v>284.40993113636364</v>
      </c>
      <c r="Q89" s="22" t="str">
        <f>IFERROR(AVERAGE(E89:G98),"")</f>
        <v/>
      </c>
      <c r="R89" s="22" t="str">
        <f>IFERROR(AVERAGE(H89:J98),"")</f>
        <v/>
      </c>
      <c r="S89" s="22" t="str">
        <f>IFERROR(AVERAGE(K89:M98),"")</f>
        <v/>
      </c>
    </row>
    <row r="90" spans="1:19" ht="17.25" x14ac:dyDescent="0.4">
      <c r="A90" s="28" t="s">
        <v>60</v>
      </c>
      <c r="B90" s="32">
        <f>IFERROR(SUBTOTAL(101,tblTemplate634[January]),"")</f>
        <v>0.76256249999999992</v>
      </c>
      <c r="C90" s="32">
        <f>IFERROR(SUBTOTAL(101,tblTemplate634[February]),"")</f>
        <v>0.73338000000000003</v>
      </c>
      <c r="D90" s="32" t="str">
        <f>IFERROR(SUBTOTAL(101,tblTemplate634[March]),"")</f>
        <v/>
      </c>
      <c r="E90" s="32" t="str">
        <f>IFERROR(SUBTOTAL(101,tblTemplate634[April]),"")</f>
        <v/>
      </c>
      <c r="F90" s="32" t="str">
        <f>IFERROR(SUBTOTAL(101,tblTemplate634[May]),"")</f>
        <v/>
      </c>
      <c r="G90" s="32" t="str">
        <f>IFERROR(SUBTOTAL(101,tblTemplate634[June]),"")</f>
        <v/>
      </c>
      <c r="H90" s="32" t="str">
        <f>IFERROR(SUBTOTAL(101,tblTemplate634[July]),"")</f>
        <v/>
      </c>
      <c r="I90" s="32" t="str">
        <f>IFERROR(SUBTOTAL(101,tblTemplate634[August]),"")</f>
        <v/>
      </c>
      <c r="J90" s="32" t="str">
        <f>IFERROR(SUBTOTAL(101,tblTemplate634[September]),"")</f>
        <v/>
      </c>
      <c r="K90" s="32" t="str">
        <f>IFERROR(SUBTOTAL(101,tblTemplate634[October]),"")</f>
        <v/>
      </c>
      <c r="L90" s="32" t="str">
        <f>IFERROR(SUBTOTAL(101,tblTemplate634[November]),"")</f>
        <v/>
      </c>
      <c r="M90" s="32" t="str">
        <f>IFERROR(SUBTOTAL(101,tblTemplate634[December]),"")</f>
        <v/>
      </c>
      <c r="N90" s="33">
        <f>IFERROR(SUBTOTAL(101,tblTemplate634[Average of Col6]),"")</f>
        <v>88.81990279490546</v>
      </c>
      <c r="O90" s="30"/>
      <c r="P90" s="33">
        <f>IFERROR(SUBTOTAL(101,tblTemplate634[Q1]),"")</f>
        <v>88.81990279490546</v>
      </c>
      <c r="Q90" s="33" t="str">
        <f>IFERROR(SUBTOTAL(101,tblTemplate634[Q2]),"")</f>
        <v/>
      </c>
      <c r="R90" s="33" t="str">
        <f>IFERROR(SUBTOTAL(101,tblTemplate634[Q3]),"")</f>
        <v/>
      </c>
      <c r="S90" s="33" t="str">
        <f>IFERROR(SUBTOTAL(101,tblTemplate634[Q4]),"")</f>
        <v/>
      </c>
    </row>
    <row r="93" spans="1:19" ht="18.75" x14ac:dyDescent="0.3">
      <c r="A93" s="4" t="str">
        <f>'Master Data'!H1</f>
        <v>Col7</v>
      </c>
    </row>
    <row r="94" spans="1:19" ht="30" customHeight="1" x14ac:dyDescent="0.25">
      <c r="A94" s="10" t="s">
        <v>43</v>
      </c>
      <c r="B94" s="10" t="s">
        <v>44</v>
      </c>
      <c r="C94" s="10" t="s">
        <v>1</v>
      </c>
      <c r="D94" s="10" t="s">
        <v>45</v>
      </c>
      <c r="E94" s="10" t="s">
        <v>46</v>
      </c>
      <c r="F94" s="10" t="s">
        <v>47</v>
      </c>
      <c r="G94" s="10" t="s">
        <v>48</v>
      </c>
      <c r="H94" s="10" t="s">
        <v>49</v>
      </c>
      <c r="I94" s="10" t="s">
        <v>50</v>
      </c>
      <c r="J94" s="10" t="s">
        <v>51</v>
      </c>
      <c r="K94" s="10" t="s">
        <v>52</v>
      </c>
      <c r="L94" s="10" t="s">
        <v>53</v>
      </c>
      <c r="M94" s="10" t="s">
        <v>54</v>
      </c>
      <c r="N94" s="9" t="s">
        <v>69</v>
      </c>
      <c r="O94" s="11" t="s">
        <v>55</v>
      </c>
      <c r="P94" s="11" t="s">
        <v>56</v>
      </c>
      <c r="Q94" s="11" t="s">
        <v>57</v>
      </c>
      <c r="R94" s="11" t="s">
        <v>58</v>
      </c>
      <c r="S94" s="11" t="s">
        <v>59</v>
      </c>
    </row>
    <row r="95" spans="1:19" ht="30" customHeight="1" x14ac:dyDescent="0.25">
      <c r="A95" t="s">
        <v>24</v>
      </c>
      <c r="B95" s="18">
        <v>342.11</v>
      </c>
      <c r="C95" s="18">
        <v>342.11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20">
        <f t="shared" ref="N95:N101" si="30">IFERROR(AVERAGE(B95:M104),"")</f>
        <v>375.13833333333343</v>
      </c>
      <c r="O95" s="25"/>
      <c r="P95" s="22">
        <f t="shared" ref="P95:P101" si="31">IFERROR(AVERAGE(B95:D104),"")</f>
        <v>375.13833333333343</v>
      </c>
      <c r="Q95" s="22" t="str">
        <f t="shared" ref="Q95:Q101" si="32">IFERROR(AVERAGE(E95:G104),"")</f>
        <v/>
      </c>
      <c r="R95" s="22" t="str">
        <f t="shared" ref="R95:R101" si="33">IFERROR(AVERAGE(H95:J104),"")</f>
        <v/>
      </c>
      <c r="S95" s="22" t="str">
        <f t="shared" ref="S95:S101" si="34">IFERROR(AVERAGE(K95:M104),"")</f>
        <v/>
      </c>
    </row>
    <row r="96" spans="1:19" x14ac:dyDescent="0.25">
      <c r="A96" t="s">
        <v>25</v>
      </c>
      <c r="B96" s="18">
        <v>468.14</v>
      </c>
      <c r="C96" s="18">
        <v>468.14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20">
        <f t="shared" si="30"/>
        <v>378.93150000000003</v>
      </c>
      <c r="O96" s="26"/>
      <c r="P96" s="31">
        <f t="shared" si="31"/>
        <v>378.93150000000003</v>
      </c>
      <c r="Q96" s="22" t="str">
        <f t="shared" si="32"/>
        <v/>
      </c>
      <c r="R96" s="22" t="str">
        <f t="shared" si="33"/>
        <v/>
      </c>
      <c r="S96" s="22" t="str">
        <f t="shared" si="34"/>
        <v/>
      </c>
    </row>
    <row r="97" spans="1:19" x14ac:dyDescent="0.25">
      <c r="A97" t="s">
        <v>26</v>
      </c>
      <c r="B97" s="18">
        <v>396.11</v>
      </c>
      <c r="C97" s="18">
        <v>396.11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0">
        <f t="shared" si="30"/>
        <v>367.78043750000001</v>
      </c>
      <c r="O97" s="26"/>
      <c r="P97" s="31">
        <f t="shared" si="31"/>
        <v>367.78043750000001</v>
      </c>
      <c r="Q97" s="22" t="str">
        <f t="shared" si="32"/>
        <v/>
      </c>
      <c r="R97" s="22" t="str">
        <f t="shared" si="33"/>
        <v/>
      </c>
      <c r="S97" s="22" t="str">
        <f t="shared" si="34"/>
        <v/>
      </c>
    </row>
    <row r="98" spans="1:19" x14ac:dyDescent="0.25">
      <c r="A98" t="s">
        <v>27</v>
      </c>
      <c r="B98" s="18">
        <v>356.73</v>
      </c>
      <c r="C98" s="18">
        <v>356.73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0">
        <f t="shared" si="30"/>
        <v>363.73335714285707</v>
      </c>
      <c r="O98" s="26"/>
      <c r="P98" s="31">
        <f t="shared" si="31"/>
        <v>363.73335714285707</v>
      </c>
      <c r="Q98" s="22" t="str">
        <f t="shared" si="32"/>
        <v/>
      </c>
      <c r="R98" s="22" t="str">
        <f t="shared" si="33"/>
        <v/>
      </c>
      <c r="S98" s="22" t="str">
        <f t="shared" si="34"/>
        <v/>
      </c>
    </row>
    <row r="99" spans="1:19" x14ac:dyDescent="0.25">
      <c r="A99" t="s">
        <v>28</v>
      </c>
      <c r="B99" s="18">
        <v>208.09</v>
      </c>
      <c r="C99" s="18">
        <v>208.09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20">
        <f t="shared" si="30"/>
        <v>364.90058333333332</v>
      </c>
      <c r="O99" s="26"/>
      <c r="P99" s="31">
        <f t="shared" si="31"/>
        <v>364.90058333333332</v>
      </c>
      <c r="Q99" s="22" t="str">
        <f t="shared" si="32"/>
        <v/>
      </c>
      <c r="R99" s="22" t="str">
        <f t="shared" si="33"/>
        <v/>
      </c>
      <c r="S99" s="22" t="str">
        <f t="shared" si="34"/>
        <v/>
      </c>
    </row>
    <row r="100" spans="1:19" x14ac:dyDescent="0.25">
      <c r="A100" t="s">
        <v>29</v>
      </c>
      <c r="B100" s="18">
        <v>690.55</v>
      </c>
      <c r="C100" s="18">
        <v>690.55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20">
        <f t="shared" si="30"/>
        <v>396.2627</v>
      </c>
      <c r="O100" s="26"/>
      <c r="P100" s="31">
        <f t="shared" si="31"/>
        <v>396.2627</v>
      </c>
      <c r="Q100" s="22" t="str">
        <f t="shared" si="32"/>
        <v/>
      </c>
      <c r="R100" s="22" t="str">
        <f t="shared" si="33"/>
        <v/>
      </c>
      <c r="S100" s="22" t="str">
        <f t="shared" si="34"/>
        <v/>
      </c>
    </row>
    <row r="101" spans="1:19" x14ac:dyDescent="0.25">
      <c r="A101" t="s">
        <v>30</v>
      </c>
      <c r="B101" s="18">
        <v>236.05</v>
      </c>
      <c r="C101" s="18">
        <v>236.05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20">
        <f t="shared" si="30"/>
        <v>258.18102000000005</v>
      </c>
      <c r="O101" s="26"/>
      <c r="P101" s="31">
        <f t="shared" si="31"/>
        <v>258.18102000000005</v>
      </c>
      <c r="Q101" s="22" t="str">
        <f t="shared" si="32"/>
        <v/>
      </c>
      <c r="R101" s="22" t="str">
        <f t="shared" si="33"/>
        <v/>
      </c>
      <c r="S101" s="22" t="str">
        <f t="shared" si="34"/>
        <v/>
      </c>
    </row>
    <row r="102" spans="1:19" x14ac:dyDescent="0.25">
      <c r="A102" t="s">
        <v>31</v>
      </c>
      <c r="B102" s="18">
        <v>392.14</v>
      </c>
      <c r="C102" s="18">
        <v>392.14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20">
        <f>IFERROR(AVERAGE(B102:M120),"")</f>
        <v>81.255258557692287</v>
      </c>
      <c r="O102" s="26"/>
      <c r="P102" s="31">
        <f>IFERROR(AVERAGE(B102:D120),"")</f>
        <v>81.255258557692287</v>
      </c>
      <c r="Q102" s="22" t="str">
        <f>IFERROR(AVERAGE(E102:G120),"")</f>
        <v/>
      </c>
      <c r="R102" s="22" t="str">
        <f>IFERROR(AVERAGE(H102:J120),"")</f>
        <v/>
      </c>
      <c r="S102" s="22" t="str">
        <f>IFERROR(AVERAGE(K102:M120),"")</f>
        <v/>
      </c>
    </row>
    <row r="103" spans="1:19" x14ac:dyDescent="0.25">
      <c r="A103" t="s">
        <v>22</v>
      </c>
      <c r="B103" s="18"/>
      <c r="C103" s="18">
        <v>300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20">
        <f>IFERROR(AVERAGE(B103:M112),"")</f>
        <v>132.62341999999998</v>
      </c>
      <c r="O103" s="26"/>
      <c r="P103" s="31">
        <f>IFERROR(AVERAGE(B103:D112),"")</f>
        <v>132.62341999999998</v>
      </c>
      <c r="Q103" s="22" t="str">
        <f>IFERROR(AVERAGE(E103:G112),"")</f>
        <v/>
      </c>
      <c r="R103" s="22" t="str">
        <f>IFERROR(AVERAGE(H103:J112),"")</f>
        <v/>
      </c>
      <c r="S103" s="22" t="str">
        <f>IFERROR(AVERAGE(K103:M112),"")</f>
        <v/>
      </c>
    </row>
    <row r="104" spans="1:19" x14ac:dyDescent="0.25">
      <c r="A104" t="s">
        <v>23</v>
      </c>
      <c r="B104" s="18"/>
      <c r="C104" s="18">
        <v>272.64999999999998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20">
        <f>IFERROR(AVERAGE(B104:M113),"")</f>
        <v>93.341418181818185</v>
      </c>
      <c r="O104" s="26"/>
      <c r="P104" s="31">
        <f>IFERROR(AVERAGE(B104:D113),"")</f>
        <v>93.341418181818185</v>
      </c>
      <c r="Q104" s="22" t="str">
        <f>IFERROR(AVERAGE(E104:G113),"")</f>
        <v/>
      </c>
      <c r="R104" s="22" t="str">
        <f>IFERROR(AVERAGE(H104:J113),"")</f>
        <v/>
      </c>
      <c r="S104" s="22" t="str">
        <f>IFERROR(AVERAGE(K104:M113),"")</f>
        <v/>
      </c>
    </row>
    <row r="105" spans="1:19" ht="17.25" x14ac:dyDescent="0.4">
      <c r="A105" s="28" t="s">
        <v>61</v>
      </c>
      <c r="B105" s="34">
        <f>IFERROR(SUBTOTAL(101,tblTemplate735[January]),"")</f>
        <v>386.24</v>
      </c>
      <c r="C105" s="34">
        <f>IFERROR(SUBTOTAL(101,tblTemplate735[February]),"")</f>
        <v>366.25700000000001</v>
      </c>
      <c r="D105" s="34" t="str">
        <f>IFERROR(SUBTOTAL(101,tblTemplate735[March]),"")</f>
        <v/>
      </c>
      <c r="E105" s="34" t="str">
        <f>IFERROR(SUBTOTAL(101,tblTemplate735[April]),"")</f>
        <v/>
      </c>
      <c r="F105" s="34" t="str">
        <f>IFERROR(SUBTOTAL(101,tblTemplate735[May]),"")</f>
        <v/>
      </c>
      <c r="G105" s="34" t="str">
        <f>IFERROR(SUBTOTAL(101,tblTemplate735[June]),"")</f>
        <v/>
      </c>
      <c r="H105" s="34" t="str">
        <f>IFERROR(SUBTOTAL(101,tblTemplate735[July]),"")</f>
        <v/>
      </c>
      <c r="I105" s="34" t="str">
        <f>IFERROR(SUBTOTAL(101,tblTemplate735[August]),"")</f>
        <v/>
      </c>
      <c r="J105" s="34" t="str">
        <f>IFERROR(SUBTOTAL(101,tblTemplate735[September]),"")</f>
        <v/>
      </c>
      <c r="K105" s="34" t="str">
        <f>IFERROR(SUBTOTAL(101,tblTemplate735[October]),"")</f>
        <v/>
      </c>
      <c r="L105" s="34" t="str">
        <f>IFERROR(SUBTOTAL(101,tblTemplate735[November]),"")</f>
        <v/>
      </c>
      <c r="M105" s="34" t="str">
        <f>IFERROR(SUBTOTAL(101,tblTemplate735[December]),"")</f>
        <v/>
      </c>
      <c r="N105" s="33">
        <f>IFERROR(SUBTOTAL(101,tblTemplate735[Average of Col7]),"")</f>
        <v>281.2148028049034</v>
      </c>
      <c r="O105" s="30"/>
      <c r="P105" s="33">
        <f>IFERROR(SUBTOTAL(101,tblTemplate735[Q1]),"")</f>
        <v>281.2148028049034</v>
      </c>
      <c r="Q105" s="33" t="str">
        <f>IFERROR(SUBTOTAL(101,tblTemplate735[Q2]),"")</f>
        <v/>
      </c>
      <c r="R105" s="33" t="str">
        <f>IFERROR(SUBTOTAL(101,tblTemplate735[Q3]),"")</f>
        <v/>
      </c>
      <c r="S105" s="33" t="str">
        <f>IFERROR(SUBTOTAL(101,tblTemplate735[Q4]),"")</f>
        <v/>
      </c>
    </row>
    <row r="108" spans="1:19" ht="30" customHeight="1" x14ac:dyDescent="0.3">
      <c r="A108" s="4" t="str">
        <f>'Master Data'!I1</f>
        <v>Col8</v>
      </c>
    </row>
    <row r="109" spans="1:19" ht="30" customHeight="1" x14ac:dyDescent="0.25">
      <c r="A109" s="10" t="s">
        <v>43</v>
      </c>
      <c r="B109" s="10" t="s">
        <v>44</v>
      </c>
      <c r="C109" s="10" t="s">
        <v>1</v>
      </c>
      <c r="D109" s="10" t="s">
        <v>45</v>
      </c>
      <c r="E109" s="10" t="s">
        <v>46</v>
      </c>
      <c r="F109" s="10" t="s">
        <v>47</v>
      </c>
      <c r="G109" s="10" t="s">
        <v>48</v>
      </c>
      <c r="H109" s="10" t="s">
        <v>49</v>
      </c>
      <c r="I109" s="10" t="s">
        <v>50</v>
      </c>
      <c r="J109" s="10" t="s">
        <v>51</v>
      </c>
      <c r="K109" s="10" t="s">
        <v>52</v>
      </c>
      <c r="L109" s="10" t="s">
        <v>53</v>
      </c>
      <c r="M109" s="10" t="s">
        <v>54</v>
      </c>
      <c r="N109" s="9" t="s">
        <v>70</v>
      </c>
      <c r="O109" s="11" t="s">
        <v>55</v>
      </c>
      <c r="P109" s="11" t="s">
        <v>56</v>
      </c>
      <c r="Q109" s="11" t="s">
        <v>57</v>
      </c>
      <c r="R109" s="11" t="s">
        <v>58</v>
      </c>
      <c r="S109" s="11" t="s">
        <v>59</v>
      </c>
    </row>
    <row r="110" spans="1:19" x14ac:dyDescent="0.25">
      <c r="A110" t="s">
        <v>24</v>
      </c>
      <c r="B110" s="1">
        <v>0.1416</v>
      </c>
      <c r="C110" s="1">
        <v>0.1416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0">
        <f t="shared" ref="N110:N116" si="35">IFERROR(AVERAGE(B110:M119),"")</f>
        <v>0.16044999999999998</v>
      </c>
      <c r="O110" s="25"/>
      <c r="P110" s="22">
        <f t="shared" ref="P110:P116" si="36">IFERROR(AVERAGE(B110:D119),"")</f>
        <v>0.16044999999999998</v>
      </c>
      <c r="Q110" s="22" t="str">
        <f t="shared" ref="Q110:Q116" si="37">IFERROR(AVERAGE(E110:G119),"")</f>
        <v/>
      </c>
      <c r="R110" s="22" t="str">
        <f t="shared" ref="R110:R116" si="38">IFERROR(AVERAGE(H110:J119),"")</f>
        <v/>
      </c>
      <c r="S110" s="22" t="str">
        <f t="shared" ref="S110:S116" si="39">IFERROR(AVERAGE(K110:M119),"")</f>
        <v/>
      </c>
    </row>
    <row r="111" spans="1:19" x14ac:dyDescent="0.25">
      <c r="A111" t="s">
        <v>25</v>
      </c>
      <c r="B111" s="1">
        <v>0.27639999999999998</v>
      </c>
      <c r="C111" s="1">
        <v>0.27639999999999998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0">
        <f t="shared" si="35"/>
        <v>0.16258458333333334</v>
      </c>
      <c r="O111" s="26"/>
      <c r="P111" s="31">
        <f t="shared" si="36"/>
        <v>0.16258458333333334</v>
      </c>
      <c r="Q111" s="22" t="str">
        <f t="shared" si="37"/>
        <v/>
      </c>
      <c r="R111" s="22" t="str">
        <f t="shared" si="38"/>
        <v/>
      </c>
      <c r="S111" s="22" t="str">
        <f t="shared" si="39"/>
        <v/>
      </c>
    </row>
    <row r="112" spans="1:19" x14ac:dyDescent="0.25">
      <c r="A112" t="s">
        <v>26</v>
      </c>
      <c r="B112" s="1">
        <v>0.12559999999999999</v>
      </c>
      <c r="C112" s="1">
        <v>0.12559999999999999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0">
        <f t="shared" si="35"/>
        <v>0.14835765625000003</v>
      </c>
      <c r="O112" s="26"/>
      <c r="P112" s="31">
        <f t="shared" si="36"/>
        <v>0.14835765625000003</v>
      </c>
      <c r="Q112" s="22" t="str">
        <f t="shared" si="37"/>
        <v/>
      </c>
      <c r="R112" s="22" t="str">
        <f t="shared" si="38"/>
        <v/>
      </c>
      <c r="S112" s="22" t="str">
        <f t="shared" si="39"/>
        <v/>
      </c>
    </row>
    <row r="113" spans="1:19" x14ac:dyDescent="0.25">
      <c r="A113" t="s">
        <v>27</v>
      </c>
      <c r="B113" s="1">
        <v>0.26069999999999999</v>
      </c>
      <c r="C113" s="1">
        <v>0.26069999999999999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0">
        <f t="shared" si="35"/>
        <v>0.15160875000000001</v>
      </c>
      <c r="O113" s="26"/>
      <c r="P113" s="31">
        <f t="shared" si="36"/>
        <v>0.15160875000000001</v>
      </c>
      <c r="Q113" s="22" t="str">
        <f t="shared" si="37"/>
        <v/>
      </c>
      <c r="R113" s="22" t="str">
        <f t="shared" si="38"/>
        <v/>
      </c>
      <c r="S113" s="22" t="str">
        <f t="shared" si="39"/>
        <v/>
      </c>
    </row>
    <row r="114" spans="1:19" x14ac:dyDescent="0.25">
      <c r="A114" t="s">
        <v>28</v>
      </c>
      <c r="B114" s="1">
        <v>0.10829999999999999</v>
      </c>
      <c r="C114" s="1">
        <v>0.10829999999999999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0">
        <f t="shared" si="35"/>
        <v>0.13342687499999997</v>
      </c>
      <c r="O114" s="26"/>
      <c r="P114" s="31">
        <f t="shared" si="36"/>
        <v>0.13342687499999997</v>
      </c>
      <c r="Q114" s="22" t="str">
        <f t="shared" si="37"/>
        <v/>
      </c>
      <c r="R114" s="22" t="str">
        <f t="shared" si="38"/>
        <v/>
      </c>
      <c r="S114" s="22" t="str">
        <f t="shared" si="39"/>
        <v/>
      </c>
    </row>
    <row r="115" spans="1:19" x14ac:dyDescent="0.25">
      <c r="A115" t="s">
        <v>29</v>
      </c>
      <c r="B115" s="1">
        <v>0.16869999999999999</v>
      </c>
      <c r="C115" s="1">
        <v>0.16869999999999999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0">
        <f t="shared" si="35"/>
        <v>0.13845225</v>
      </c>
      <c r="O115" s="26"/>
      <c r="P115" s="31">
        <f t="shared" si="36"/>
        <v>0.13845225</v>
      </c>
      <c r="Q115" s="22" t="str">
        <f t="shared" si="37"/>
        <v/>
      </c>
      <c r="R115" s="22" t="str">
        <f t="shared" si="38"/>
        <v/>
      </c>
      <c r="S115" s="22" t="str">
        <f t="shared" si="39"/>
        <v/>
      </c>
    </row>
    <row r="116" spans="1:19" x14ac:dyDescent="0.25">
      <c r="A116" t="s">
        <v>30</v>
      </c>
      <c r="B116" s="1">
        <v>8.2500000000000004E-2</v>
      </c>
      <c r="C116" s="1">
        <v>8.2500000000000004E-2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0">
        <f t="shared" si="35"/>
        <v>0.29657224999999998</v>
      </c>
      <c r="O116" s="26"/>
      <c r="P116" s="31">
        <f t="shared" si="36"/>
        <v>0.29657224999999998</v>
      </c>
      <c r="Q116" s="22" t="str">
        <f t="shared" si="37"/>
        <v/>
      </c>
      <c r="R116" s="22" t="str">
        <f t="shared" si="38"/>
        <v/>
      </c>
      <c r="S116" s="22" t="str">
        <f t="shared" si="39"/>
        <v/>
      </c>
    </row>
    <row r="117" spans="1:19" x14ac:dyDescent="0.25">
      <c r="A117" t="s">
        <v>31</v>
      </c>
      <c r="B117" s="1">
        <v>0.1487</v>
      </c>
      <c r="C117" s="1">
        <v>0.1487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0">
        <f>IFERROR(AVERAGE(B117:M135),"")</f>
        <v>0.7701776923076924</v>
      </c>
      <c r="O117" s="26"/>
      <c r="P117" s="31">
        <f>IFERROR(AVERAGE(B117:D135),"")</f>
        <v>0.7701776923076924</v>
      </c>
      <c r="Q117" s="22" t="str">
        <f>IFERROR(AVERAGE(E117:G135),"")</f>
        <v/>
      </c>
      <c r="R117" s="22" t="str">
        <f>IFERROR(AVERAGE(H117:J135),"")</f>
        <v/>
      </c>
      <c r="S117" s="22" t="str">
        <f>IFERROR(AVERAGE(K117:M135),"")</f>
        <v/>
      </c>
    </row>
    <row r="118" spans="1:19" x14ac:dyDescent="0.25">
      <c r="A118" t="s">
        <v>22</v>
      </c>
      <c r="B118" s="1"/>
      <c r="C118" s="1">
        <v>0.1211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0">
        <f>IFERROR(AVERAGE(B118:M127),"")</f>
        <v>0.61961225000000009</v>
      </c>
      <c r="O118" s="26"/>
      <c r="P118" s="31">
        <f>IFERROR(AVERAGE(B118:D127),"")</f>
        <v>0.61961225000000009</v>
      </c>
      <c r="Q118" s="22" t="str">
        <f>IFERROR(AVERAGE(E118:G127),"")</f>
        <v/>
      </c>
      <c r="R118" s="22" t="str">
        <f>IFERROR(AVERAGE(H118:J127),"")</f>
        <v/>
      </c>
      <c r="S118" s="22" t="str">
        <f>IFERROR(AVERAGE(K118:M127),"")</f>
        <v/>
      </c>
    </row>
    <row r="119" spans="1:19" x14ac:dyDescent="0.25">
      <c r="A119" t="s">
        <v>23</v>
      </c>
      <c r="B119" s="1"/>
      <c r="C119" s="1">
        <v>0.14199999999999999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0">
        <f>IFERROR(AVERAGE(B119:M128),"")</f>
        <v>0.7396929545454547</v>
      </c>
      <c r="O119" s="26"/>
      <c r="P119" s="31">
        <f>IFERROR(AVERAGE(B119:D128),"")</f>
        <v>0.7396929545454547</v>
      </c>
      <c r="Q119" s="22" t="str">
        <f>IFERROR(AVERAGE(E119:G128),"")</f>
        <v/>
      </c>
      <c r="R119" s="22" t="str">
        <f>IFERROR(AVERAGE(H119:J128),"")</f>
        <v/>
      </c>
      <c r="S119" s="22" t="str">
        <f>IFERROR(AVERAGE(K119:M128),"")</f>
        <v/>
      </c>
    </row>
    <row r="120" spans="1:19" ht="17.25" x14ac:dyDescent="0.4">
      <c r="A120" s="28" t="s">
        <v>60</v>
      </c>
      <c r="B120" s="32">
        <f>IFERROR(SUBTOTAL(101,tblTemplate836[January]),"")</f>
        <v>0.1640625</v>
      </c>
      <c r="C120" s="32">
        <f>IFERROR(SUBTOTAL(101,tblTemplate836[February]),"")</f>
        <v>0.15755999999999998</v>
      </c>
      <c r="D120" s="32" t="str">
        <f>IFERROR(SUBTOTAL(101,tblTemplate836[March]),"")</f>
        <v/>
      </c>
      <c r="E120" s="32" t="str">
        <f>IFERROR(SUBTOTAL(101,tblTemplate836[April]),"")</f>
        <v/>
      </c>
      <c r="F120" s="32" t="str">
        <f>IFERROR(SUBTOTAL(101,tblTemplate836[May]),"")</f>
        <v/>
      </c>
      <c r="G120" s="32" t="str">
        <f>IFERROR(SUBTOTAL(101,tblTemplate836[June]),"")</f>
        <v/>
      </c>
      <c r="H120" s="32" t="str">
        <f>IFERROR(SUBTOTAL(101,tblTemplate836[July]),"")</f>
        <v/>
      </c>
      <c r="I120" s="32" t="str">
        <f>IFERROR(SUBTOTAL(101,tblTemplate836[August]),"")</f>
        <v/>
      </c>
      <c r="J120" s="32" t="str">
        <f>IFERROR(SUBTOTAL(101,tblTemplate836[September]),"")</f>
        <v/>
      </c>
      <c r="K120" s="32" t="str">
        <f>IFERROR(SUBTOTAL(101,tblTemplate836[October]),"")</f>
        <v/>
      </c>
      <c r="L120" s="32" t="str">
        <f>IFERROR(SUBTOTAL(101,tblTemplate836[November]),"")</f>
        <v/>
      </c>
      <c r="M120" s="32" t="str">
        <f>IFERROR(SUBTOTAL(101,tblTemplate836[December]),"")</f>
        <v/>
      </c>
      <c r="N120" s="33">
        <f>IFERROR(SUBTOTAL(101,tblTemplate836[Average of Col8]),"")</f>
        <v>0.33209352614364807</v>
      </c>
      <c r="O120" s="30"/>
      <c r="P120" s="33">
        <f>IFERROR(SUBTOTAL(101,tblTemplate836[Q1]),"")</f>
        <v>0.33209352614364807</v>
      </c>
      <c r="Q120" s="33" t="str">
        <f>IFERROR(SUBTOTAL(101,tblTemplate836[Q2]),"")</f>
        <v/>
      </c>
      <c r="R120" s="33" t="str">
        <f>IFERROR(SUBTOTAL(101,tblTemplate836[Q3]),"")</f>
        <v/>
      </c>
      <c r="S120" s="33" t="str">
        <f>IFERROR(SUBTOTAL(101,tblTemplate836[Q4]),"")</f>
        <v/>
      </c>
    </row>
    <row r="123" spans="1:19" ht="18.75" x14ac:dyDescent="0.3">
      <c r="A123" s="4" t="str">
        <f>'Master Data'!J1</f>
        <v>Col9</v>
      </c>
    </row>
    <row r="124" spans="1:19" ht="30" customHeight="1" x14ac:dyDescent="0.25">
      <c r="A124" s="10" t="s">
        <v>43</v>
      </c>
      <c r="B124" s="10" t="s">
        <v>44</v>
      </c>
      <c r="C124" s="10" t="s">
        <v>1</v>
      </c>
      <c r="D124" s="10" t="s">
        <v>45</v>
      </c>
      <c r="E124" s="10" t="s">
        <v>46</v>
      </c>
      <c r="F124" s="10" t="s">
        <v>47</v>
      </c>
      <c r="G124" s="10" t="s">
        <v>48</v>
      </c>
      <c r="H124" s="10" t="s">
        <v>49</v>
      </c>
      <c r="I124" s="10" t="s">
        <v>50</v>
      </c>
      <c r="J124" s="10" t="s">
        <v>51</v>
      </c>
      <c r="K124" s="10" t="s">
        <v>52</v>
      </c>
      <c r="L124" s="10" t="s">
        <v>53</v>
      </c>
      <c r="M124" s="10" t="s">
        <v>54</v>
      </c>
      <c r="N124" s="9" t="s">
        <v>71</v>
      </c>
      <c r="O124" s="11" t="s">
        <v>55</v>
      </c>
      <c r="P124" s="11" t="s">
        <v>56</v>
      </c>
      <c r="Q124" s="11" t="s">
        <v>57</v>
      </c>
      <c r="R124" s="11" t="s">
        <v>58</v>
      </c>
      <c r="S124" s="11" t="s">
        <v>59</v>
      </c>
    </row>
    <row r="125" spans="1:19" ht="17.25" x14ac:dyDescent="0.4">
      <c r="A125" t="s">
        <v>24</v>
      </c>
      <c r="B125" s="1">
        <v>0.95930000000000004</v>
      </c>
      <c r="C125" s="1">
        <v>0.95930000000000004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0">
        <f t="shared" ref="N125:N134" si="40">IFERROR(AVERAGE(B125:M134),"")</f>
        <v>0.95712222222222243</v>
      </c>
      <c r="O125" s="3"/>
      <c r="P125" s="22">
        <f t="shared" ref="P125:P134" si="41">IFERROR(AVERAGE(B125:D134),"")</f>
        <v>0.95712222222222243</v>
      </c>
      <c r="Q125" s="22" t="str">
        <f t="shared" ref="Q125:Q134" si="42">IFERROR(AVERAGE(E125:G134),"")</f>
        <v/>
      </c>
      <c r="R125" s="22" t="str">
        <f t="shared" ref="R125:R134" si="43">IFERROR(AVERAGE(H125:J134),"")</f>
        <v/>
      </c>
      <c r="S125" s="22" t="str">
        <f t="shared" ref="S125:S134" si="44">IFERROR(AVERAGE(K125:M134),"")</f>
        <v/>
      </c>
    </row>
    <row r="126" spans="1:19" ht="17.25" x14ac:dyDescent="0.4">
      <c r="A126" t="s">
        <v>25</v>
      </c>
      <c r="B126" s="1">
        <v>0.89380000000000004</v>
      </c>
      <c r="C126" s="1">
        <v>0.89380000000000004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0">
        <f t="shared" si="40"/>
        <v>0.95688319444444458</v>
      </c>
      <c r="O126" s="35"/>
      <c r="P126" s="22">
        <f t="shared" si="41"/>
        <v>0.95688319444444458</v>
      </c>
      <c r="Q126" s="22" t="str">
        <f t="shared" si="42"/>
        <v/>
      </c>
      <c r="R126" s="22" t="str">
        <f t="shared" si="43"/>
        <v/>
      </c>
      <c r="S126" s="22" t="str">
        <f t="shared" si="44"/>
        <v/>
      </c>
    </row>
    <row r="127" spans="1:19" ht="17.25" x14ac:dyDescent="0.4">
      <c r="A127" t="s">
        <v>26</v>
      </c>
      <c r="B127" s="1">
        <v>0.9526</v>
      </c>
      <c r="C127" s="1">
        <v>0.9526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0">
        <f t="shared" si="40"/>
        <v>0.96476859375000013</v>
      </c>
      <c r="O127" s="35"/>
      <c r="P127" s="22">
        <f t="shared" si="41"/>
        <v>0.96476859375000013</v>
      </c>
      <c r="Q127" s="22" t="str">
        <f t="shared" si="42"/>
        <v/>
      </c>
      <c r="R127" s="22" t="str">
        <f t="shared" si="43"/>
        <v/>
      </c>
      <c r="S127" s="22" t="str">
        <f t="shared" si="44"/>
        <v/>
      </c>
    </row>
    <row r="128" spans="1:19" ht="17.25" x14ac:dyDescent="0.4">
      <c r="A128" t="s">
        <v>27</v>
      </c>
      <c r="B128" s="1">
        <v>1.0307999999999999</v>
      </c>
      <c r="C128" s="1">
        <v>1.0307999999999999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0">
        <f t="shared" si="40"/>
        <v>0.96650696428571437</v>
      </c>
      <c r="O128" s="35"/>
      <c r="P128" s="22">
        <f t="shared" si="41"/>
        <v>0.96650696428571437</v>
      </c>
      <c r="Q128" s="22" t="str">
        <f t="shared" si="42"/>
        <v/>
      </c>
      <c r="R128" s="22" t="str">
        <f t="shared" si="43"/>
        <v/>
      </c>
      <c r="S128" s="22" t="str">
        <f t="shared" si="44"/>
        <v/>
      </c>
    </row>
    <row r="129" spans="1:19" ht="17.25" x14ac:dyDescent="0.4">
      <c r="A129" t="s">
        <v>28</v>
      </c>
      <c r="B129" s="1">
        <v>0.93379999999999996</v>
      </c>
      <c r="C129" s="1">
        <v>0.93379999999999996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0">
        <f t="shared" si="40"/>
        <v>0.95579145833333323</v>
      </c>
      <c r="O129" s="35"/>
      <c r="P129" s="22">
        <f t="shared" si="41"/>
        <v>0.95579145833333323</v>
      </c>
      <c r="Q129" s="22" t="str">
        <f t="shared" si="42"/>
        <v/>
      </c>
      <c r="R129" s="22" t="str">
        <f t="shared" si="43"/>
        <v/>
      </c>
      <c r="S129" s="22" t="str">
        <f t="shared" si="44"/>
        <v/>
      </c>
    </row>
    <row r="130" spans="1:19" ht="17.25" x14ac:dyDescent="0.4">
      <c r="A130" t="s">
        <v>29</v>
      </c>
      <c r="B130" s="1">
        <v>0.87939999999999996</v>
      </c>
      <c r="C130" s="1">
        <v>0.87939999999999996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0">
        <f t="shared" si="40"/>
        <v>0.96018975000000018</v>
      </c>
      <c r="O130" s="35"/>
      <c r="P130" s="22">
        <f t="shared" si="41"/>
        <v>0.96018975000000018</v>
      </c>
      <c r="Q130" s="22" t="str">
        <f t="shared" si="42"/>
        <v/>
      </c>
      <c r="R130" s="22" t="str">
        <f t="shared" si="43"/>
        <v/>
      </c>
      <c r="S130" s="22" t="str">
        <f t="shared" si="44"/>
        <v/>
      </c>
    </row>
    <row r="131" spans="1:19" ht="17.25" x14ac:dyDescent="0.4">
      <c r="A131" t="s">
        <v>30</v>
      </c>
      <c r="B131" s="1">
        <v>1.0159</v>
      </c>
      <c r="C131" s="1">
        <v>1.0159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0">
        <f t="shared" si="40"/>
        <v>0.98038718750000009</v>
      </c>
      <c r="O131" s="35"/>
      <c r="P131" s="22">
        <f t="shared" si="41"/>
        <v>0.98038718750000009</v>
      </c>
      <c r="Q131" s="22" t="str">
        <f t="shared" si="42"/>
        <v/>
      </c>
      <c r="R131" s="22" t="str">
        <f t="shared" si="43"/>
        <v/>
      </c>
      <c r="S131" s="22" t="str">
        <f t="shared" si="44"/>
        <v/>
      </c>
    </row>
    <row r="132" spans="1:19" ht="17.25" x14ac:dyDescent="0.4">
      <c r="A132" t="s">
        <v>31</v>
      </c>
      <c r="B132" s="1">
        <v>0.99350000000000005</v>
      </c>
      <c r="C132" s="1">
        <v>0.99350000000000005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0">
        <f t="shared" si="40"/>
        <v>0.96854958333333341</v>
      </c>
      <c r="O132" s="35"/>
      <c r="P132" s="22">
        <f t="shared" si="41"/>
        <v>0.96854958333333341</v>
      </c>
      <c r="Q132" s="22" t="str">
        <f t="shared" si="42"/>
        <v/>
      </c>
      <c r="R132" s="22" t="str">
        <f t="shared" si="43"/>
        <v/>
      </c>
      <c r="S132" s="22" t="str">
        <f t="shared" si="44"/>
        <v/>
      </c>
    </row>
    <row r="133" spans="1:19" ht="17.25" x14ac:dyDescent="0.4">
      <c r="A133" t="s">
        <v>22</v>
      </c>
      <c r="B133" s="1"/>
      <c r="C133" s="1">
        <v>0.9244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0">
        <f t="shared" si="40"/>
        <v>0.95607437500000003</v>
      </c>
      <c r="O133" s="35"/>
      <c r="P133" s="22">
        <f t="shared" si="41"/>
        <v>0.95607437500000003</v>
      </c>
      <c r="Q133" s="22" t="str">
        <f t="shared" si="42"/>
        <v/>
      </c>
      <c r="R133" s="22" t="str">
        <f t="shared" si="43"/>
        <v/>
      </c>
      <c r="S133" s="22" t="str">
        <f t="shared" si="44"/>
        <v/>
      </c>
    </row>
    <row r="134" spans="1:19" ht="17.25" x14ac:dyDescent="0.4">
      <c r="A134" t="s">
        <v>23</v>
      </c>
      <c r="B134" s="1"/>
      <c r="C134" s="1">
        <v>0.98560000000000003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0">
        <f t="shared" si="40"/>
        <v>0.96663249999999989</v>
      </c>
      <c r="O134" s="35"/>
      <c r="P134" s="22">
        <f t="shared" si="41"/>
        <v>0.96663249999999989</v>
      </c>
      <c r="Q134" s="22" t="str">
        <f t="shared" si="42"/>
        <v/>
      </c>
      <c r="R134" s="22" t="str">
        <f t="shared" si="43"/>
        <v/>
      </c>
      <c r="S134" s="22" t="str">
        <f t="shared" si="44"/>
        <v/>
      </c>
    </row>
    <row r="135" spans="1:19" ht="17.25" x14ac:dyDescent="0.4">
      <c r="A135" s="28" t="s">
        <v>60</v>
      </c>
      <c r="B135" s="32">
        <f>IFERROR(SUBTOTAL(101,tblTemplate937[January]),"")</f>
        <v>0.95738749999999995</v>
      </c>
      <c r="C135" s="32">
        <f>IFERROR(SUBTOTAL(101,tblTemplate937[February]),"")</f>
        <v>0.95690999999999993</v>
      </c>
      <c r="D135" s="32" t="str">
        <f>IFERROR(SUBTOTAL(101,tblTemplate937[March]),"")</f>
        <v/>
      </c>
      <c r="E135" s="32" t="str">
        <f>IFERROR(SUBTOTAL(101,tblTemplate937[April]),"")</f>
        <v/>
      </c>
      <c r="F135" s="32" t="str">
        <f>IFERROR(SUBTOTAL(101,tblTemplate937[May]),"")</f>
        <v/>
      </c>
      <c r="G135" s="32" t="str">
        <f>IFERROR(SUBTOTAL(101,tblTemplate937[June]),"")</f>
        <v/>
      </c>
      <c r="H135" s="32" t="str">
        <f>IFERROR(SUBTOTAL(101,tblTemplate937[July]),"")</f>
        <v/>
      </c>
      <c r="I135" s="32" t="str">
        <f>IFERROR(SUBTOTAL(101,tblTemplate937[August]),"")</f>
        <v/>
      </c>
      <c r="J135" s="32" t="str">
        <f>IFERROR(SUBTOTAL(101,tblTemplate937[September]),"")</f>
        <v/>
      </c>
      <c r="K135" s="32" t="str">
        <f>IFERROR(SUBTOTAL(101,tblTemplate937[October]),"")</f>
        <v/>
      </c>
      <c r="L135" s="32" t="str">
        <f>IFERROR(SUBTOTAL(101,tblTemplate937[November]),"")</f>
        <v/>
      </c>
      <c r="M135" s="32" t="str">
        <f>IFERROR(SUBTOTAL(101,tblTemplate937[December]),"")</f>
        <v/>
      </c>
      <c r="N135" s="33">
        <f>IFERROR(SUBTOTAL(101,tblTemplate937[Average of Col9]),"")</f>
        <v>0.96329058288690472</v>
      </c>
      <c r="O135" s="30"/>
      <c r="P135" s="33">
        <f>IFERROR(SUBTOTAL(101,tblTemplate937[Q1]),"")</f>
        <v>0.96329058288690472</v>
      </c>
      <c r="Q135" s="33" t="str">
        <f>IFERROR(SUBTOTAL(101,tblTemplate937[Q2]),"")</f>
        <v/>
      </c>
      <c r="R135" s="33" t="str">
        <f>IFERROR(SUBTOTAL(101,tblTemplate937[Q3]),"")</f>
        <v/>
      </c>
      <c r="S135" s="33" t="str">
        <f>IFERROR(SUBTOTAL(101,tblTemplate937[Q4]),"")</f>
        <v/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Group3!B5:M5</xm:f>
              <xm:sqref>O5</xm:sqref>
            </x14:sparkline>
            <x14:sparkline>
              <xm:f>Group3!B6:M6</xm:f>
              <xm:sqref>O6</xm:sqref>
            </x14:sparkline>
            <x14:sparkline>
              <xm:f>Group3!B7:M7</xm:f>
              <xm:sqref>O7</xm:sqref>
            </x14:sparkline>
            <x14:sparkline>
              <xm:f>Group3!B8:M8</xm:f>
              <xm:sqref>O8</xm:sqref>
            </x14:sparkline>
            <x14:sparkline>
              <xm:f>Group3!B9:M9</xm:f>
              <xm:sqref>O9</xm:sqref>
            </x14:sparkline>
            <x14:sparkline>
              <xm:f>Group3!B10:M10</xm:f>
              <xm:sqref>O10</xm:sqref>
            </x14:sparkline>
            <x14:sparkline>
              <xm:f>Group3!B11:M11</xm:f>
              <xm:sqref>O11</xm:sqref>
            </x14:sparkline>
            <x14:sparkline>
              <xm:f>Group3!B12:M12</xm:f>
              <xm:sqref>O12</xm:sqref>
            </x14:sparkline>
            <x14:sparkline>
              <xm:f>Group3!B13:M13</xm:f>
              <xm:sqref>O13</xm:sqref>
            </x14:sparkline>
            <x14:sparkline>
              <xm:f>Group3!B14:M14</xm:f>
              <xm:sqref>O14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Group3!B125:M125</xm:f>
              <xm:sqref>O125</xm:sqref>
            </x14:sparkline>
            <x14:sparkline>
              <xm:f>Group3!B126:M126</xm:f>
              <xm:sqref>O126</xm:sqref>
            </x14:sparkline>
            <x14:sparkline>
              <xm:f>Group3!B127:M127</xm:f>
              <xm:sqref>O127</xm:sqref>
            </x14:sparkline>
            <x14:sparkline>
              <xm:f>Group3!B128:M128</xm:f>
              <xm:sqref>O128</xm:sqref>
            </x14:sparkline>
            <x14:sparkline>
              <xm:f>Group3!B129:M129</xm:f>
              <xm:sqref>O129</xm:sqref>
            </x14:sparkline>
            <x14:sparkline>
              <xm:f>Group3!B130:M130</xm:f>
              <xm:sqref>O130</xm:sqref>
            </x14:sparkline>
            <x14:sparkline>
              <xm:f>Group3!B131:M131</xm:f>
              <xm:sqref>O131</xm:sqref>
            </x14:sparkline>
            <x14:sparkline>
              <xm:f>Group3!B132:M132</xm:f>
              <xm:sqref>O132</xm:sqref>
            </x14:sparkline>
            <x14:sparkline>
              <xm:f>Group3!B133:M133</xm:f>
              <xm:sqref>O133</xm:sqref>
            </x14:sparkline>
            <x14:sparkline>
              <xm:f>Group3!B134:M134</xm:f>
              <xm:sqref>O134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Group3!B120:M120</xm:f>
              <xm:sqref>O120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Group3!B110:M110</xm:f>
              <xm:sqref>O110</xm:sqref>
            </x14:sparkline>
            <x14:sparkline>
              <xm:f>Group3!B111:M111</xm:f>
              <xm:sqref>O111</xm:sqref>
            </x14:sparkline>
            <x14:sparkline>
              <xm:f>Group3!B112:M112</xm:f>
              <xm:sqref>O112</xm:sqref>
            </x14:sparkline>
            <x14:sparkline>
              <xm:f>Group3!B113:M113</xm:f>
              <xm:sqref>O113</xm:sqref>
            </x14:sparkline>
            <x14:sparkline>
              <xm:f>Group3!B114:M114</xm:f>
              <xm:sqref>O114</xm:sqref>
            </x14:sparkline>
            <x14:sparkline>
              <xm:f>Group3!B115:M115</xm:f>
              <xm:sqref>O115</xm:sqref>
            </x14:sparkline>
            <x14:sparkline>
              <xm:f>Group3!B116:M116</xm:f>
              <xm:sqref>O116</xm:sqref>
            </x14:sparkline>
            <x14:sparkline>
              <xm:f>Group3!B117:M117</xm:f>
              <xm:sqref>O117</xm:sqref>
            </x14:sparkline>
            <x14:sparkline>
              <xm:f>Group3!B118:M118</xm:f>
              <xm:sqref>O118</xm:sqref>
            </x14:sparkline>
            <x14:sparkline>
              <xm:f>Group3!B119:M119</xm:f>
              <xm:sqref>O119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Group3!B105:M105</xm:f>
              <xm:sqref>O105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Group3!B135:M135</xm:f>
              <xm:sqref>O135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Group3!B90:M90</xm:f>
              <xm:sqref>O90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Group3!B80:M80</xm:f>
              <xm:sqref>O80</xm:sqref>
            </x14:sparkline>
            <x14:sparkline>
              <xm:f>Group3!B81:M81</xm:f>
              <xm:sqref>O81</xm:sqref>
            </x14:sparkline>
            <x14:sparkline>
              <xm:f>Group3!B82:M82</xm:f>
              <xm:sqref>O82</xm:sqref>
            </x14:sparkline>
            <x14:sparkline>
              <xm:f>Group3!B83:M83</xm:f>
              <xm:sqref>O83</xm:sqref>
            </x14:sparkline>
            <x14:sparkline>
              <xm:f>Group3!B84:M84</xm:f>
              <xm:sqref>O84</xm:sqref>
            </x14:sparkline>
            <x14:sparkline>
              <xm:f>Group3!B85:M85</xm:f>
              <xm:sqref>O85</xm:sqref>
            </x14:sparkline>
            <x14:sparkline>
              <xm:f>Group3!B86:M86</xm:f>
              <xm:sqref>O86</xm:sqref>
            </x14:sparkline>
            <x14:sparkline>
              <xm:f>Group3!B87:M87</xm:f>
              <xm:sqref>O87</xm:sqref>
            </x14:sparkline>
            <x14:sparkline>
              <xm:f>Group3!B88:M88</xm:f>
              <xm:sqref>O88</xm:sqref>
            </x14:sparkline>
            <x14:sparkline>
              <xm:f>Group3!B89:M89</xm:f>
              <xm:sqref>O89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Group3!B15:M15</xm:f>
              <xm:sqref>O15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Group3!B75:M75</xm:f>
              <xm:sqref>O75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Group3!B65:M65</xm:f>
              <xm:sqref>O65</xm:sqref>
            </x14:sparkline>
            <x14:sparkline>
              <xm:f>Group3!B66:M66</xm:f>
              <xm:sqref>O66</xm:sqref>
            </x14:sparkline>
            <x14:sparkline>
              <xm:f>Group3!B67:M67</xm:f>
              <xm:sqref>O67</xm:sqref>
            </x14:sparkline>
            <x14:sparkline>
              <xm:f>Group3!B68:M68</xm:f>
              <xm:sqref>O68</xm:sqref>
            </x14:sparkline>
            <x14:sparkline>
              <xm:f>Group3!B69:M69</xm:f>
              <xm:sqref>O69</xm:sqref>
            </x14:sparkline>
            <x14:sparkline>
              <xm:f>Group3!B70:M70</xm:f>
              <xm:sqref>O70</xm:sqref>
            </x14:sparkline>
            <x14:sparkline>
              <xm:f>Group3!B71:M71</xm:f>
              <xm:sqref>O71</xm:sqref>
            </x14:sparkline>
            <x14:sparkline>
              <xm:f>Group3!B72:M72</xm:f>
              <xm:sqref>O72</xm:sqref>
            </x14:sparkline>
            <x14:sparkline>
              <xm:f>Group3!B73:M73</xm:f>
              <xm:sqref>O73</xm:sqref>
            </x14:sparkline>
            <x14:sparkline>
              <xm:f>Group3!B74:M74</xm:f>
              <xm:sqref>O74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Group3!B60:M60</xm:f>
              <xm:sqref>O60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Group3!B50:M50</xm:f>
              <xm:sqref>O50</xm:sqref>
            </x14:sparkline>
            <x14:sparkline>
              <xm:f>Group3!B51:M51</xm:f>
              <xm:sqref>O51</xm:sqref>
            </x14:sparkline>
            <x14:sparkline>
              <xm:f>Group3!B52:M52</xm:f>
              <xm:sqref>O52</xm:sqref>
            </x14:sparkline>
            <x14:sparkline>
              <xm:f>Group3!B53:M53</xm:f>
              <xm:sqref>O53</xm:sqref>
            </x14:sparkline>
            <x14:sparkline>
              <xm:f>Group3!B54:M54</xm:f>
              <xm:sqref>O54</xm:sqref>
            </x14:sparkline>
            <x14:sparkline>
              <xm:f>Group3!B55:M55</xm:f>
              <xm:sqref>O55</xm:sqref>
            </x14:sparkline>
            <x14:sparkline>
              <xm:f>Group3!B56:M56</xm:f>
              <xm:sqref>O56</xm:sqref>
            </x14:sparkline>
            <x14:sparkline>
              <xm:f>Group3!B57:M57</xm:f>
              <xm:sqref>O57</xm:sqref>
            </x14:sparkline>
            <x14:sparkline>
              <xm:f>Group3!B58:M58</xm:f>
              <xm:sqref>O58</xm:sqref>
            </x14:sparkline>
            <x14:sparkline>
              <xm:f>Group3!B59:M59</xm:f>
              <xm:sqref>O59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Group3!B45:M45</xm:f>
              <xm:sqref>O45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Group3!B35:M35</xm:f>
              <xm:sqref>O35</xm:sqref>
            </x14:sparkline>
            <x14:sparkline>
              <xm:f>Group3!B36:M36</xm:f>
              <xm:sqref>O36</xm:sqref>
            </x14:sparkline>
            <x14:sparkline>
              <xm:f>Group3!B37:M37</xm:f>
              <xm:sqref>O37</xm:sqref>
            </x14:sparkline>
            <x14:sparkline>
              <xm:f>Group3!B38:M38</xm:f>
              <xm:sqref>O38</xm:sqref>
            </x14:sparkline>
            <x14:sparkline>
              <xm:f>Group3!B39:M39</xm:f>
              <xm:sqref>O39</xm:sqref>
            </x14:sparkline>
            <x14:sparkline>
              <xm:f>Group3!B40:M40</xm:f>
              <xm:sqref>O40</xm:sqref>
            </x14:sparkline>
            <x14:sparkline>
              <xm:f>Group3!B41:M41</xm:f>
              <xm:sqref>O41</xm:sqref>
            </x14:sparkline>
            <x14:sparkline>
              <xm:f>Group3!B42:M42</xm:f>
              <xm:sqref>O42</xm:sqref>
            </x14:sparkline>
            <x14:sparkline>
              <xm:f>Group3!B43:M43</xm:f>
              <xm:sqref>O43</xm:sqref>
            </x14:sparkline>
            <x14:sparkline>
              <xm:f>Group3!B44:M44</xm:f>
              <xm:sqref>O44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Group3!B30:M30</xm:f>
              <xm:sqref>O30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Group3!B95:M95</xm:f>
              <xm:sqref>O95</xm:sqref>
            </x14:sparkline>
            <x14:sparkline>
              <xm:f>Group3!B96:M96</xm:f>
              <xm:sqref>O96</xm:sqref>
            </x14:sparkline>
            <x14:sparkline>
              <xm:f>Group3!B97:M97</xm:f>
              <xm:sqref>O97</xm:sqref>
            </x14:sparkline>
            <x14:sparkline>
              <xm:f>Group3!B98:M98</xm:f>
              <xm:sqref>O98</xm:sqref>
            </x14:sparkline>
            <x14:sparkline>
              <xm:f>Group3!B99:M99</xm:f>
              <xm:sqref>O99</xm:sqref>
            </x14:sparkline>
            <x14:sparkline>
              <xm:f>Group3!B100:M100</xm:f>
              <xm:sqref>O100</xm:sqref>
            </x14:sparkline>
            <x14:sparkline>
              <xm:f>Group3!B101:M101</xm:f>
              <xm:sqref>O101</xm:sqref>
            </x14:sparkline>
            <x14:sparkline>
              <xm:f>Group3!B102:M102</xm:f>
              <xm:sqref>O102</xm:sqref>
            </x14:sparkline>
            <x14:sparkline>
              <xm:f>Group3!B103:M103</xm:f>
              <xm:sqref>O103</xm:sqref>
            </x14:sparkline>
            <x14:sparkline>
              <xm:f>Group3!B104:M104</xm:f>
              <xm:sqref>O104</xm:sqref>
            </x14:sparkline>
          </x14:sparklines>
        </x14:sparklineGroup>
        <x14:sparklineGroup manualMax="0" manualMin="0" lineWeight="2.25" displayEmptyCellsAs="gap" markers="1" high="1" low="1" negative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Group3!B20:M20</xm:f>
              <xm:sqref>O20</xm:sqref>
            </x14:sparkline>
            <x14:sparkline>
              <xm:f>Group3!B21:M21</xm:f>
              <xm:sqref>O21</xm:sqref>
            </x14:sparkline>
            <x14:sparkline>
              <xm:f>Group3!B22:M22</xm:f>
              <xm:sqref>O22</xm:sqref>
            </x14:sparkline>
            <x14:sparkline>
              <xm:f>Group3!B23:M23</xm:f>
              <xm:sqref>O23</xm:sqref>
            </x14:sparkline>
            <x14:sparkline>
              <xm:f>Group3!B24:M24</xm:f>
              <xm:sqref>O24</xm:sqref>
            </x14:sparkline>
            <x14:sparkline>
              <xm:f>Group3!B25:M25</xm:f>
              <xm:sqref>O25</xm:sqref>
            </x14:sparkline>
            <x14:sparkline>
              <xm:f>Group3!B26:M26</xm:f>
              <xm:sqref>O26</xm:sqref>
            </x14:sparkline>
            <x14:sparkline>
              <xm:f>Group3!B27:M27</xm:f>
              <xm:sqref>O27</xm:sqref>
            </x14:sparkline>
            <x14:sparkline>
              <xm:f>Group3!B28:M28</xm:f>
              <xm:sqref>O28</xm:sqref>
            </x14:sparkline>
            <x14:sparkline>
              <xm:f>Group3!B29:M29</xm:f>
              <xm:sqref>O29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Report Template</vt:lpstr>
      <vt:lpstr>Master Data</vt:lpstr>
      <vt:lpstr>Group1</vt:lpstr>
      <vt:lpstr>Group2</vt:lpstr>
      <vt:lpstr>Group3</vt:lpstr>
      <vt:lpstr>Header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Yogin Doshi</cp:lastModifiedBy>
  <dcterms:created xsi:type="dcterms:W3CDTF">2017-01-23T11:01:30Z</dcterms:created>
  <dcterms:modified xsi:type="dcterms:W3CDTF">2017-01-27T01:11:22Z</dcterms:modified>
</cp:coreProperties>
</file>